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1250" activeTab="0"/>
  </bookViews>
  <sheets>
    <sheet name="Blank" sheetId="1" r:id="rId1"/>
    <sheet name="Other Info" sheetId="2" r:id="rId2"/>
    <sheet name="List" sheetId="3" r:id="rId3"/>
  </sheets>
  <externalReferences>
    <externalReference r:id="rId6"/>
  </externalReferences>
  <definedNames>
    <definedName name="aux_ch_sw">'List'!$O$17:$O$29</definedName>
    <definedName name="ch9_sw">'List'!$AA$17:$AA$24</definedName>
    <definedName name="master">'List'!$S$17:$S$30</definedName>
    <definedName name="mix_sw">'List'!$U$17:$U$25</definedName>
    <definedName name="mod_type">'List'!$P$17:$P$24</definedName>
    <definedName name="Model_sel">'List'!$C$17:$C$30</definedName>
    <definedName name="model_select">'[1]Lists'!$C$17:$C$31</definedName>
    <definedName name="model_type">'[1]Lists'!$P$17:$P$24</definedName>
    <definedName name="other_func">'List'!$B$17:$B$37</definedName>
    <definedName name="pc_0_100">'List'!$W$17:$W$117</definedName>
    <definedName name="pc_0_140">'List'!$D$17:$D$157</definedName>
    <definedName name="pc_100_0_100">'List'!$E$17:$E$217</definedName>
    <definedName name="pc_120_120">'List'!$V$17:$V$257</definedName>
    <definedName name="percent_0_100">'[1]Lists'!$W$17:$W$117</definedName>
    <definedName name="percent_0_140">'[1]Lists'!$D$17:$D$157</definedName>
    <definedName name="percent_100_0_100">'[1]Lists'!$E$17:$E$217</definedName>
    <definedName name="percent_120_0_120">'[1]Lists'!$V$17:$V$257</definedName>
    <definedName name="rev">'List'!$J$17:$J$18</definedName>
    <definedName name="reverse">'[1]Lists'!$J$17:$J$18</definedName>
    <definedName name="slave">'List'!$T$17:$T$24</definedName>
    <definedName name="snap_sw">'List'!$X$17:$X$26</definedName>
    <definedName name="step_120_0_120">'[1]Lists'!$I$17:$I$257</definedName>
    <definedName name="step_120_120">'List'!$I$17:$I$257</definedName>
    <definedName name="sw_dr_exp">'List'!$F$17:$F$28</definedName>
    <definedName name="sw_pos">'List'!$G$17:$G$19</definedName>
    <definedName name="switch_dr_exp">'[1]Lists'!$F$17:$F$28</definedName>
    <definedName name="thr_cut_pos">'List'!$N$17:$N$22</definedName>
    <definedName name="thr_cut_posi">'[1]Lists'!$N$17:$N$22</definedName>
    <definedName name="thr_cut_rate">'List'!$L$17:$L$57</definedName>
    <definedName name="thr_cut_sw">'List'!$M$17:$M$24</definedName>
    <definedName name="thr_needle">'List'!$Y$17:$Y$207</definedName>
    <definedName name="thr_needle_acce">'List'!$Z$17:$Z$117</definedName>
    <definedName name="timer_sw">'List'!$Q$17:$Q$26</definedName>
    <definedName name="timer_sw_pos">'List'!$R$17:$R$23</definedName>
    <definedName name="trig_point">'List'!$H$17:$H$117</definedName>
    <definedName name="trigger_point">'[1]Lists'!$H$17:$H$117</definedName>
    <definedName name="trim_step">'List'!$K$17:$K$56</definedName>
  </definedNames>
  <calcPr fullCalcOnLoad="1"/>
</workbook>
</file>

<file path=xl/sharedStrings.xml><?xml version="1.0" encoding="utf-8"?>
<sst xmlns="http://schemas.openxmlformats.org/spreadsheetml/2006/main" count="987" uniqueCount="447">
  <si>
    <t>General information</t>
  </si>
  <si>
    <t>Comments about this model</t>
  </si>
  <si>
    <t>Channel assignments</t>
  </si>
  <si>
    <t>Channel --&gt;</t>
  </si>
  <si>
    <t>9 (PCM only)</t>
  </si>
  <si>
    <t>Servo --&gt;</t>
  </si>
  <si>
    <t>Right aileron</t>
  </si>
  <si>
    <t>Elevator</t>
  </si>
  <si>
    <t>Throttle</t>
  </si>
  <si>
    <t>Rudder</t>
  </si>
  <si>
    <t>(none)</t>
  </si>
  <si>
    <t>Left aileron</t>
  </si>
  <si>
    <t>Left flap</t>
  </si>
  <si>
    <t>Right flap</t>
  </si>
  <si>
    <t>Throttle needle active on channel 8</t>
  </si>
  <si>
    <t>Switch, knob and slider assignments</t>
  </si>
  <si>
    <t>Up</t>
  </si>
  <si>
    <t>Down</t>
  </si>
  <si>
    <t>Down (mom.)</t>
  </si>
  <si>
    <t>Center</t>
  </si>
  <si>
    <t>Flaps</t>
  </si>
  <si>
    <r>
      <t xml:space="preserve">Tip: </t>
    </r>
    <r>
      <rPr>
        <i/>
        <sz val="10"/>
        <rFont val="Arial"/>
        <family val="2"/>
      </rPr>
      <t xml:space="preserve"> Print from the top to here at 90% of normal size (for a landscape, letter-size page) as a quick reference for this plane at the field.</t>
    </r>
  </si>
  <si>
    <t>BASIC(ACRO) menu</t>
  </si>
  <si>
    <t>MODEL</t>
  </si>
  <si>
    <t>SELECT&gt;</t>
  </si>
  <si>
    <t>&lt;-- Optional CAMPac required for model memories 09 through 14.</t>
  </si>
  <si>
    <t xml:space="preserve">     For 3rd party modules, type model number when greater than 14.</t>
  </si>
  <si>
    <t>(use if you have multiple CAMPacs)</t>
  </si>
  <si>
    <t>NAME&gt;</t>
  </si>
  <si>
    <t>&lt;-- Enter model name.  For help use...</t>
  </si>
  <si>
    <t>9C text alphabet</t>
  </si>
  <si>
    <t>D/R, EXP.</t>
  </si>
  <si>
    <t>CH&gt;</t>
  </si>
  <si>
    <r>
      <t>Dual/Triple Rate</t>
    </r>
    <r>
      <rPr>
        <i/>
        <sz val="10"/>
        <rFont val="Arial"/>
        <family val="2"/>
      </rPr>
      <t xml:space="preserve"> changes max servo travel with a switch.</t>
    </r>
  </si>
  <si>
    <t>AILE</t>
  </si>
  <si>
    <t>[sw pos]</t>
  </si>
  <si>
    <t>ELEV</t>
  </si>
  <si>
    <t>THRO</t>
  </si>
  <si>
    <t>RUDD</t>
  </si>
  <si>
    <r>
      <t>Exponential</t>
    </r>
    <r>
      <rPr>
        <i/>
        <sz val="10"/>
        <rFont val="Arial"/>
        <family val="2"/>
      </rPr>
      <t xml:space="preserve"> changes sensitivity relative to stick position.</t>
    </r>
  </si>
  <si>
    <t>Switch up --&gt;</t>
  </si>
  <si>
    <t>D/R&gt;</t>
  </si>
  <si>
    <t>+100%</t>
  </si>
  <si>
    <t>settings</t>
  </si>
  <si>
    <t>EXP&gt;</t>
  </si>
  <si>
    <t>+  0%</t>
  </si>
  <si>
    <t>[sw pos] is current position of assigned switch.</t>
  </si>
  <si>
    <t>Switch ctr --&gt;</t>
  </si>
  <si>
    <t>Switch dn --&gt;</t>
  </si>
  <si>
    <t>See note! --&gt;</t>
  </si>
  <si>
    <t>SW&gt;</t>
  </si>
  <si>
    <t>D</t>
  </si>
  <si>
    <t>(  0%)</t>
  </si>
  <si>
    <t>A</t>
  </si>
  <si>
    <t>B</t>
  </si>
  <si>
    <t>&lt;-- Record SW first; it displays switch center</t>
  </si>
  <si>
    <t>settings for switches C and G.</t>
  </si>
  <si>
    <t>*If switch SW is AIL, ELE, THR or RUD, set % here.  Defaults: AIL(90%), ELE(90%), THR(30%), RUD(90%).</t>
  </si>
  <si>
    <t>% = amount of stick throw (trigger point) to change between "switch up" and "switch down" settings.</t>
  </si>
  <si>
    <t>To set trigger point on transmitter, hold stick at desired location, press and hold dial.</t>
  </si>
  <si>
    <t>END POINT</t>
  </si>
  <si>
    <t>1:AIL</t>
  </si>
  <si>
    <r>
      <t>END POINT</t>
    </r>
    <r>
      <rPr>
        <i/>
        <sz val="10"/>
        <rFont val="Arial"/>
        <family val="2"/>
      </rPr>
      <t xml:space="preserve"> adjusts each end of servo's travel.</t>
    </r>
  </si>
  <si>
    <t>2:ELE</t>
  </si>
  <si>
    <t>3:THR</t>
  </si>
  <si>
    <t>4:RUD</t>
  </si>
  <si>
    <t>5:GEA</t>
  </si>
  <si>
    <t>6:FLA</t>
  </si>
  <si>
    <t>7:AUX</t>
  </si>
  <si>
    <t>8:AUX</t>
  </si>
  <si>
    <t>SUB-TRIM</t>
  </si>
  <si>
    <t xml:space="preserve">  0</t>
  </si>
  <si>
    <r>
      <t>SUB-TRIM</t>
    </r>
    <r>
      <rPr>
        <i/>
        <sz val="10"/>
        <rFont val="Arial"/>
        <family val="2"/>
      </rPr>
      <t xml:space="preserve"> makes small adjustments to servo neutral positions.</t>
    </r>
  </si>
  <si>
    <t>REVERSE</t>
  </si>
  <si>
    <t xml:space="preserve">   NOR</t>
  </si>
  <si>
    <r>
      <t>Reverse</t>
    </r>
    <r>
      <rPr>
        <i/>
        <sz val="10"/>
        <rFont val="Arial"/>
        <family val="2"/>
      </rPr>
      <t xml:space="preserve"> reverses servo response to control input.</t>
    </r>
  </si>
  <si>
    <t>Reverse CH9 servo in AUX-CH screen.</t>
  </si>
  <si>
    <t>TRIM</t>
  </si>
  <si>
    <t>RESET&gt;</t>
  </si>
  <si>
    <t>EXECUTE</t>
  </si>
  <si>
    <r>
      <t>TRIM</t>
    </r>
    <r>
      <rPr>
        <i/>
        <sz val="10"/>
        <rFont val="Arial"/>
        <family val="2"/>
      </rPr>
      <t xml:space="preserve"> STEP sets increment for 1 trim "click."</t>
    </r>
  </si>
  <si>
    <t>STEP AILE&gt;</t>
  </si>
  <si>
    <t>( x )</t>
  </si>
  <si>
    <t>Default STEP is 4.</t>
  </si>
  <si>
    <t>ELEV&gt;</t>
  </si>
  <si>
    <t>THRO&gt;</t>
  </si>
  <si>
    <t>EXECUTE resets all trims to neutral.  Press dial for 1 second to reset.</t>
  </si>
  <si>
    <t>RUDD&gt;</t>
  </si>
  <si>
    <t>Current trim settings on transmitter.</t>
  </si>
  <si>
    <t>THR-CUT</t>
  </si>
  <si>
    <t>MIX&gt;</t>
  </si>
  <si>
    <t>INH</t>
  </si>
  <si>
    <r>
      <t>THR-CUT</t>
    </r>
    <r>
      <rPr>
        <i/>
        <sz val="10"/>
        <rFont val="Arial"/>
        <family val="2"/>
      </rPr>
      <t xml:space="preserve"> stops engine.  With throttle stick at idle, set RATE so throttle is fully closed.</t>
    </r>
  </si>
  <si>
    <t>RATE&gt;</t>
  </si>
  <si>
    <t xml:space="preserve">  0%</t>
  </si>
  <si>
    <t>MIX = INH inhibits function. If not inhibited, MIX field shows ON or OFF based on position of assigned switch.</t>
  </si>
  <si>
    <t>POSI&gt;</t>
  </si>
  <si>
    <t>NULL</t>
  </si>
  <si>
    <r>
      <t>Tip:</t>
    </r>
    <r>
      <rPr>
        <i/>
        <sz val="10"/>
        <color indexed="10"/>
        <rFont val="Arial"/>
        <family val="2"/>
      </rPr>
      <t xml:space="preserve"> </t>
    </r>
    <r>
      <rPr>
        <i/>
        <sz val="10"/>
        <rFont val="Arial"/>
        <family val="2"/>
      </rPr>
      <t>If you aren't using Sw F for Trainer or Snap-Roll, assign it to Thr-Cut (POSI&gt;DOWN).  Since Sw F</t>
    </r>
  </si>
  <si>
    <t>auto-returns to UP (Thr-Cut off), you'll never forget and try to start the engine with the throttle closed.</t>
  </si>
  <si>
    <t>IDLE-DOWN</t>
  </si>
  <si>
    <r>
      <t>IDLE-DOWN</t>
    </r>
    <r>
      <rPr>
        <i/>
        <sz val="10"/>
        <rFont val="Arial"/>
        <family val="2"/>
      </rPr>
      <t xml:space="preserve"> lowers engine idle for stalls, spins and landings.</t>
    </r>
  </si>
  <si>
    <t>C</t>
  </si>
  <si>
    <t>MIX = INH inhibits function.  If not inhibited, field shows ON or OFF based on position of assigned switch.</t>
  </si>
  <si>
    <t>Cntr&amp;Dn</t>
  </si>
  <si>
    <t>F/S</t>
  </si>
  <si>
    <t>NOR</t>
  </si>
  <si>
    <t xml:space="preserve">   0%</t>
  </si>
  <si>
    <r>
      <t>Failsafe</t>
    </r>
    <r>
      <rPr>
        <i/>
        <sz val="10"/>
        <rFont val="Arial"/>
        <family val="2"/>
      </rPr>
      <t xml:space="preserve"> moves servos to programmed positions on loss of transmitter signal.</t>
    </r>
  </si>
  <si>
    <t>Failsafe is available only with PCM modulation.</t>
  </si>
  <si>
    <t>Record MODUL in PARAMETER screen first, then record failsafe settings here.</t>
  </si>
  <si>
    <t xml:space="preserve">To set a failsafe position on the transmitter, move associated control </t>
  </si>
  <si>
    <t>to desired position, then press dial.</t>
  </si>
  <si>
    <t>AUX-CH</t>
  </si>
  <si>
    <t>CH5&gt;</t>
  </si>
  <si>
    <t>Sw-E</t>
  </si>
  <si>
    <r>
      <t>AUX-CH</t>
    </r>
    <r>
      <rPr>
        <i/>
        <sz val="10"/>
        <rFont val="Arial"/>
        <family val="2"/>
      </rPr>
      <t xml:space="preserve"> assigns switches, knobs or sliders to channels 5 through 9.</t>
    </r>
  </si>
  <si>
    <t>CH6&gt;</t>
  </si>
  <si>
    <t>Vr-A</t>
  </si>
  <si>
    <t>CH7&gt;</t>
  </si>
  <si>
    <t>Vr-D</t>
  </si>
  <si>
    <t>CH8&gt;</t>
  </si>
  <si>
    <t>CH9&gt;</t>
  </si>
  <si>
    <t>Sw-B</t>
  </si>
  <si>
    <t>CH9 available only with PCM modulation.</t>
  </si>
  <si>
    <t>&gt;</t>
  </si>
  <si>
    <t>NORM</t>
  </si>
  <si>
    <t>Record MODUL = PCM in PARAMETER screen first, then record CH9 here.</t>
  </si>
  <si>
    <t>PARAMETER</t>
  </si>
  <si>
    <t>&lt;-- EXECUTE applies settings in this screen.  Press dial for 1 second to execute.</t>
  </si>
  <si>
    <t>TYPE&gt;</t>
  </si>
  <si>
    <t>ACROBATIC</t>
  </si>
  <si>
    <t>&lt;-- This worksheet applies only to ACROBATIC.</t>
  </si>
  <si>
    <t>MODUL&gt;</t>
  </si>
  <si>
    <t>PPM</t>
  </si>
  <si>
    <t>ATL&gt;</t>
  </si>
  <si>
    <t>ON</t>
  </si>
  <si>
    <t>&lt;-- Adjustable travel limit.  When ON, disables throttle trim at high throttle.</t>
  </si>
  <si>
    <t>AIL-2&gt;</t>
  </si>
  <si>
    <t>CH6or7</t>
  </si>
  <si>
    <t>&lt;-- Changes second aileron servo channel when using 5-channel receiver.</t>
  </si>
  <si>
    <t>TIMER</t>
  </si>
  <si>
    <t>TIME&gt;</t>
  </si>
  <si>
    <t>&lt;-- Enter timer settings: MM:SS</t>
  </si>
  <si>
    <t>MODE&gt;</t>
  </si>
  <si>
    <t>UP</t>
  </si>
  <si>
    <t>DOWN</t>
  </si>
  <si>
    <t>&lt;-- Count up or down.</t>
  </si>
  <si>
    <t>&lt;-- Switch controlling timer.</t>
  </si>
  <si>
    <t>&lt;-- Timer runs when switch is in this position (NULL = no switch controls timer).</t>
  </si>
  <si>
    <t>TRAINER</t>
  </si>
  <si>
    <t>FUNC</t>
  </si>
  <si>
    <t>Trainer mode is always controlled by Switch F on 9CA (fixed wing).</t>
  </si>
  <si>
    <t>Trainer function is automatically disabled on xmtr if snap-roll function is active.</t>
  </si>
  <si>
    <t xml:space="preserve">FUNC = When Switch F is ON, channel can be controlled by student, </t>
  </si>
  <si>
    <t>INH inhibits.</t>
  </si>
  <si>
    <r>
      <t xml:space="preserve">   using any mixing programmed on </t>
    </r>
    <r>
      <rPr>
        <i/>
        <u val="single"/>
        <sz val="10"/>
        <rFont val="Arial"/>
        <family val="2"/>
      </rPr>
      <t>instructor's</t>
    </r>
    <r>
      <rPr>
        <i/>
        <sz val="10"/>
        <rFont val="Arial"/>
        <family val="2"/>
      </rPr>
      <t xml:space="preserve"> transmitter.</t>
    </r>
  </si>
  <si>
    <t>ON/OFF</t>
  </si>
  <si>
    <t>OFF</t>
  </si>
  <si>
    <t xml:space="preserve">NORM = When Switch F is ON, channel is controlled by student, </t>
  </si>
  <si>
    <t>based on</t>
  </si>
  <si>
    <r>
      <t xml:space="preserve">   using any programming on </t>
    </r>
    <r>
      <rPr>
        <i/>
        <u val="single"/>
        <sz val="10"/>
        <rFont val="Arial"/>
        <family val="2"/>
      </rPr>
      <t>student's</t>
    </r>
    <r>
      <rPr>
        <i/>
        <sz val="10"/>
        <rFont val="Arial"/>
        <family val="2"/>
      </rPr>
      <t xml:space="preserve"> transmitter.</t>
    </r>
  </si>
  <si>
    <t>Switch F</t>
  </si>
  <si>
    <t xml:space="preserve">OFF = Channel cannot be controlled by student.  Channel is controlled </t>
  </si>
  <si>
    <t>position.</t>
  </si>
  <si>
    <t xml:space="preserve">   by instructor, regardless of Switch F position.</t>
  </si>
  <si>
    <t>ADVANCE(ACRO) menu</t>
  </si>
  <si>
    <t>PROG.MIX 1</t>
  </si>
  <si>
    <t>PROG.MIX 2</t>
  </si>
  <si>
    <t>These lines show first three settings in mix's second page.</t>
  </si>
  <si>
    <t>&lt;-- RATE =&gt; % slave moves when master is at 100%.</t>
  </si>
  <si>
    <t>OFFSET&gt;</t>
  </si>
  <si>
    <t>&lt;-- OFFSET =&gt; slave's center relative to master.</t>
  </si>
  <si>
    <t>To set, move master control, press dial for 1 second.</t>
  </si>
  <si>
    <t>&lt;-- INH inhibits mix.</t>
  </si>
  <si>
    <t>MAS&gt;</t>
  </si>
  <si>
    <t>OFST</t>
  </si>
  <si>
    <t>&lt;-- MAS =&gt; controlling channel (master).</t>
  </si>
  <si>
    <t>SLV&gt;</t>
  </si>
  <si>
    <t>AUX1</t>
  </si>
  <si>
    <t>AUX2</t>
  </si>
  <si>
    <t>&lt;-- SLV =&gt; controlled channel (slave).</t>
  </si>
  <si>
    <t>LINK&gt;</t>
  </si>
  <si>
    <t>&lt;-- LINK on =&gt; links this programmable mix to other mixes.</t>
  </si>
  <si>
    <t>TRIM&gt;</t>
  </si>
  <si>
    <t>&lt;-- TRIM on =&gt; master's trim affects slave (only if master is CH1-CH4).</t>
  </si>
  <si>
    <t>&lt;-- SW =&gt; switch controlling this mix.</t>
  </si>
  <si>
    <t>&lt;-- POSI =&gt; position of selected switch that activates mix.</t>
  </si>
  <si>
    <t>NULL = mix operates when not inhibited, i.e., independent of any switch.</t>
  </si>
  <si>
    <t>PROG.MIX 3</t>
  </si>
  <si>
    <t>PROG.MIX 4</t>
  </si>
  <si>
    <t>-100%</t>
  </si>
  <si>
    <t>CENTER</t>
  </si>
  <si>
    <t>PROG.MIX 5</t>
  </si>
  <si>
    <t>Default programmable mixes and switches</t>
  </si>
  <si>
    <t>1: Aileron --&gt; Rudder, Switch B</t>
  </si>
  <si>
    <t>2: Elevator --&gt; Flap, Switch C</t>
  </si>
  <si>
    <t>3: Flap --&gt; Elevator, Switch G</t>
  </si>
  <si>
    <t>4: Throttle --&gt; Rudder, Switch H</t>
  </si>
  <si>
    <t>5: Rudder --&gt; Aileron, Switch H</t>
  </si>
  <si>
    <t>H</t>
  </si>
  <si>
    <t>PROG.MIX 6</t>
  </si>
  <si>
    <t>PROG.MIX 7</t>
  </si>
  <si>
    <t>POS-1&gt;</t>
  </si>
  <si>
    <t>POS-2&gt;</t>
  </si>
  <si>
    <t>POS-3&gt;</t>
  </si>
  <si>
    <t>POS-4&gt;</t>
  </si>
  <si>
    <t>POS-5&gt;</t>
  </si>
  <si>
    <t>FLAPERON</t>
  </si>
  <si>
    <r>
      <t>FLAPERON</t>
    </r>
    <r>
      <rPr>
        <i/>
        <sz val="10"/>
        <rFont val="Arial"/>
        <family val="2"/>
      </rPr>
      <t xml:space="preserve"> drives aileron servos on CH1 and CH6 to provide both aileron and flap functions.</t>
    </r>
  </si>
  <si>
    <t>RATE-AIL1&gt;</t>
  </si>
  <si>
    <t>MIX = INH inhibits function.  When active, function is controlled by CH6 or flap programming.</t>
  </si>
  <si>
    <t>AIL2&gt;</t>
  </si>
  <si>
    <t>FLP2&gt;</t>
  </si>
  <si>
    <t>FLP1&gt;</t>
  </si>
  <si>
    <t>FLAPERON is automatically disabled on xmtr if AIL-DIFF or ELEVON is active.</t>
  </si>
  <si>
    <t>FLAP-TRIM</t>
  </si>
  <si>
    <r>
      <t>FLAP-TRIM</t>
    </r>
    <r>
      <rPr>
        <i/>
        <sz val="10"/>
        <rFont val="Arial"/>
        <family val="2"/>
      </rPr>
      <t xml:space="preserve"> assigns primary flap control to allow in-flight trimming of flap action of flaperons.</t>
    </r>
  </si>
  <si>
    <t>FLAP-TRIM is automatically activated when FLAPERON is active, but can be inhibited.</t>
  </si>
  <si>
    <t>AIL-DIFF</t>
  </si>
  <si>
    <r>
      <t>AIL-DIFF</t>
    </r>
    <r>
      <rPr>
        <i/>
        <sz val="10"/>
        <rFont val="Arial"/>
        <family val="2"/>
      </rPr>
      <t xml:space="preserve"> allows separate up/down travel for aileron servos on CH1 and CH7.</t>
    </r>
  </si>
  <si>
    <t>AIL-DIFF is automatically disabled on xmtr if FLAPERON or ELEVON is active.</t>
  </si>
  <si>
    <t>AIR-BRAKE</t>
  </si>
  <si>
    <r>
      <t>AIR-BRAKE</t>
    </r>
    <r>
      <rPr>
        <i/>
        <sz val="10"/>
        <rFont val="Arial"/>
        <family val="2"/>
      </rPr>
      <t xml:space="preserve"> is a preprogrammed mix controlling dual ailerons, flaps and elevator.</t>
    </r>
  </si>
  <si>
    <t>MIX = INH inhibits function.  If not inhibited, field shows ON or OFF based on position of Switch C.</t>
  </si>
  <si>
    <t>FLAP</t>
  </si>
  <si>
    <t>DELAY- ELE&gt;</t>
  </si>
  <si>
    <t>&lt;-- Elevator delay.  100% delays elevator about 1 second to deflection set in this screen.</t>
  </si>
  <si>
    <t>Manual</t>
  </si>
  <si>
    <t>&lt;-- MANUAL =&gt; air brake activated by Switch C.  LNEAR(x%) =&gt; air brake proportional to throttle.</t>
  </si>
  <si>
    <t>To set x, move throttle stick to desired 0 point, press dial for 1 second.</t>
  </si>
  <si>
    <t>ELEV&gt;FLAP</t>
  </si>
  <si>
    <r>
      <t>ELEV&gt;FLAP</t>
    </r>
    <r>
      <rPr>
        <i/>
        <sz val="10"/>
        <rFont val="Arial"/>
        <family val="2"/>
      </rPr>
      <t xml:space="preserve"> drives flaps from elevator stick (usually in opposite direction from elevators) for sharp pitch changes.</t>
    </r>
  </si>
  <si>
    <t>RATE&gt;^</t>
  </si>
  <si>
    <t>+ 50%</t>
  </si>
  <si>
    <t>RATE&gt;v</t>
  </si>
  <si>
    <t>&lt;-- NULL =&gt; mix operates when not inhibited, i.e., independent of any switch.</t>
  </si>
  <si>
    <t>V-TAIL</t>
  </si>
  <si>
    <r>
      <t>V-TAIL</t>
    </r>
    <r>
      <rPr>
        <i/>
        <sz val="10"/>
        <rFont val="Arial"/>
        <family val="2"/>
      </rPr>
      <t xml:space="preserve"> drives two tail surfaces on CH2 and CH4 from elevator and rudder sticks.</t>
    </r>
  </si>
  <si>
    <t>RATE-ELEV1</t>
  </si>
  <si>
    <t>ELE2&gt;</t>
  </si>
  <si>
    <t>- 50%</t>
  </si>
  <si>
    <t>RUD2&gt;</t>
  </si>
  <si>
    <t>RUD1&gt;</t>
  </si>
  <si>
    <t>ELEVON</t>
  </si>
  <si>
    <r>
      <t>ELEVON</t>
    </r>
    <r>
      <rPr>
        <i/>
        <sz val="10"/>
        <rFont val="Arial"/>
        <family val="2"/>
      </rPr>
      <t xml:space="preserve"> drives two roll/pitch surfaces on CH1 and CH2 from aileron and elevator sticks.</t>
    </r>
  </si>
  <si>
    <t>Use on tailless airplanes, such as flying wings.</t>
  </si>
  <si>
    <t>ELEVON is automatically disabled on xmtr if FLAPERON or AIL-DIFF is active.</t>
  </si>
  <si>
    <t>ELE1&gt;</t>
  </si>
  <si>
    <t>AILVATOR</t>
  </si>
  <si>
    <r>
      <t>AILEVATOR</t>
    </r>
    <r>
      <rPr>
        <i/>
        <sz val="10"/>
        <rFont val="Arial"/>
        <family val="2"/>
      </rPr>
      <t xml:space="preserve"> drives two independent elevator servos on CH2 and CH8 from elevator and aileron sticks.</t>
    </r>
  </si>
  <si>
    <t>RATE-AIL3&gt;</t>
  </si>
  <si>
    <t>AILEVATOR is automatically disabled if THR-NEEDL is active.  Both use CH8.</t>
  </si>
  <si>
    <t>AIL4&gt;</t>
  </si>
  <si>
    <t>SNAP-ROLL</t>
  </si>
  <si>
    <t>(*:*/*)</t>
  </si>
  <si>
    <t>&lt;-- For explanation, see...</t>
  </si>
  <si>
    <t>"Controlling snap type" table.</t>
  </si>
  <si>
    <t>Snap roll is always assigned to Switch F.</t>
  </si>
  <si>
    <t>RATE-AIL&gt;</t>
  </si>
  <si>
    <t>(Switch F also controls the trainer function.  Snap roll is</t>
  </si>
  <si>
    <t>ELE&gt;</t>
  </si>
  <si>
    <t>automatically disabled on xmtr if trainer function is active.)</t>
  </si>
  <si>
    <t>RUD&gt;</t>
  </si>
  <si>
    <t>SAFE-MOD&gt;</t>
  </si>
  <si>
    <t>FREE</t>
  </si>
  <si>
    <t>&lt;-- Follows switch assigned to CH5 in AUX-CH.</t>
  </si>
  <si>
    <t>DIR-SW1&gt;</t>
  </si>
  <si>
    <t>&lt;-- Switch selecting left/right component.</t>
  </si>
  <si>
    <t xml:space="preserve">                 If using only one snap type,</t>
  </si>
  <si>
    <t>If SW1 = C or G, then switch C or G controls</t>
  </si>
  <si>
    <t>2&gt;</t>
  </si>
  <si>
    <t>&lt;-- Switch selecting up/down component.</t>
  </si>
  <si>
    <t xml:space="preserve">                 set both to NULL</t>
  </si>
  <si>
    <t>three of the four snap types.</t>
  </si>
  <si>
    <t>THR-DELAY</t>
  </si>
  <si>
    <r>
      <t>THR-DELAY</t>
    </r>
    <r>
      <rPr>
        <i/>
        <sz val="10"/>
        <rFont val="Arial"/>
        <family val="2"/>
      </rPr>
      <t xml:space="preserve"> slows throttle response:</t>
    </r>
  </si>
  <si>
    <t>&lt;-- 40%=about 1 second, 100%=about 8 seconds.</t>
  </si>
  <si>
    <t>THR-NEEDL</t>
  </si>
  <si>
    <r>
      <t>THR-NEEDL</t>
    </r>
    <r>
      <rPr>
        <i/>
        <sz val="10"/>
        <rFont val="Arial"/>
        <family val="2"/>
      </rPr>
      <t xml:space="preserve"> adjusts carb tuning based on throttle stick position.</t>
    </r>
  </si>
  <si>
    <t>POINT 1</t>
  </si>
  <si>
    <t xml:space="preserve">  0.0%</t>
  </si>
  <si>
    <t>When active, function drives CH8.</t>
  </si>
  <si>
    <t xml:space="preserve"> 25.0%</t>
  </si>
  <si>
    <t xml:space="preserve"> 50.0%</t>
  </si>
  <si>
    <t>THR-NEEDL is automatically disabled if AILEVATOR is active.  Both use CH8.</t>
  </si>
  <si>
    <t xml:space="preserve"> 75.0%</t>
  </si>
  <si>
    <t>100.0%</t>
  </si>
  <si>
    <t>ACCE&gt;</t>
  </si>
  <si>
    <t>&lt;-- ACCE =&gt; acceleration delay.</t>
  </si>
  <si>
    <t>END OF PROGRAMMING SCREENS, but there's more...</t>
  </si>
  <si>
    <t>Switch and function cross reference</t>
  </si>
  <si>
    <t>The table below is automatically filled in with the switch, knob and slider assignments you recorded in the programming screens above—that is, it shows how the transmitter is programmed to operate.</t>
  </si>
  <si>
    <r>
      <t>Example:</t>
    </r>
    <r>
      <rPr>
        <sz val="10"/>
        <rFont val="Arial"/>
        <family val="2"/>
      </rPr>
      <t xml:space="preserve">  Suppose you program Switch A by mistake to control aileron exponential, throttle cut and flaps.  In the Switch A column, you'd see Switch A assigned to these functions.</t>
    </r>
  </si>
  <si>
    <t>The "Your entries" rows at the bottom of the table are automatically filled in from the "Switch, knob and slider assignments" section near the top of the spreadsheet.</t>
  </si>
  <si>
    <r>
      <t xml:space="preserve">Use the table to verify which switch controls which function, and to assure a switch doesn't control unwanted functions.  </t>
    </r>
    <r>
      <rPr>
        <sz val="10"/>
        <rFont val="Arial"/>
        <family val="2"/>
      </rPr>
      <t>(You can't make any entries in this table.)</t>
    </r>
  </si>
  <si>
    <r>
      <t>Note:</t>
    </r>
    <r>
      <rPr>
        <sz val="10"/>
        <rFont val="Arial"/>
        <family val="2"/>
      </rPr>
      <t xml:space="preserve">  The table only displays programming for functions that are activated (that is, </t>
    </r>
    <r>
      <rPr>
        <u val="single"/>
        <sz val="10"/>
        <rFont val="Arial"/>
        <family val="2"/>
      </rPr>
      <t>not</t>
    </r>
    <r>
      <rPr>
        <sz val="10"/>
        <rFont val="Arial"/>
        <family val="2"/>
      </rPr>
      <t xml:space="preserve"> inhibited).  If you activate a function that has been inhibited, check back here for potential conflicts.</t>
    </r>
  </si>
  <si>
    <r>
      <t xml:space="preserve">If a column contains multiple entries, the wrong entry, or no entries, there </t>
    </r>
    <r>
      <rPr>
        <i/>
        <sz val="10"/>
        <rFont val="Arial"/>
        <family val="2"/>
      </rPr>
      <t>may</t>
    </r>
    <r>
      <rPr>
        <sz val="10"/>
        <rFont val="Arial"/>
        <family val="0"/>
      </rPr>
      <t xml:space="preserve"> be a programming or recording problem.  If you find an error, check/change the transmitter setting, then check/change the corresponding record section above</t>
    </r>
    <r>
      <rPr>
        <sz val="10"/>
        <rFont val="Arial"/>
        <family val="0"/>
      </rPr>
      <t>.</t>
    </r>
  </si>
  <si>
    <t>Switch</t>
  </si>
  <si>
    <t>Knob</t>
  </si>
  <si>
    <t>Slider</t>
  </si>
  <si>
    <t>Function</t>
  </si>
  <si>
    <t>E</t>
  </si>
  <si>
    <t>F</t>
  </si>
  <si>
    <t>G</t>
  </si>
  <si>
    <t>VR(A)</t>
  </si>
  <si>
    <t>VR(B)</t>
  </si>
  <si>
    <t>VR(C)</t>
  </si>
  <si>
    <t>VR(D)</t>
  </si>
  <si>
    <t>VR(E)</t>
  </si>
  <si>
    <t>CH&gt;1 AILE</t>
  </si>
  <si>
    <t>CH&gt;2 ELEV</t>
  </si>
  <si>
    <t>CH&gt;3 THRO</t>
  </si>
  <si>
    <t>CH&gt;4 RUDD</t>
  </si>
  <si>
    <t>&lt;1&gt;</t>
  </si>
  <si>
    <t>&lt;2&gt;</t>
  </si>
  <si>
    <t>PROG.MIX</t>
  </si>
  <si>
    <t>SAFE-MOD</t>
  </si>
  <si>
    <t>DIR-SW2&gt;</t>
  </si>
  <si>
    <t>Your entries</t>
  </si>
  <si>
    <r>
      <t xml:space="preserve">in </t>
    </r>
    <r>
      <rPr>
        <b/>
        <sz val="10"/>
        <rFont val="Arial"/>
        <family val="2"/>
      </rPr>
      <t>Switch,</t>
    </r>
  </si>
  <si>
    <t>knob and</t>
  </si>
  <si>
    <t>slider functions</t>
  </si>
  <si>
    <t>section</t>
  </si>
  <si>
    <t>END OF FUTABA 9C PROGRAMMING RECORD</t>
  </si>
  <si>
    <t>Order of characters available for model name</t>
  </si>
  <si>
    <t>Use this list to determine the shortest distance from one character to the next when entering a model name.</t>
  </si>
  <si>
    <t xml:space="preserve">                     space</t>
  </si>
  <si>
    <t>Turn dial clockwise</t>
  </si>
  <si>
    <r>
      <t>ABCDEFGHIJKLMNOPQRSTUVWXYZ[¥]^_`abcdefghijklmnopqrstuvwxyz</t>
    </r>
    <r>
      <rPr>
        <b/>
        <sz val="10"/>
        <color indexed="22"/>
        <rFont val="Wingdings"/>
        <family val="0"/>
      </rPr>
      <t>o</t>
    </r>
    <r>
      <rPr>
        <b/>
        <sz val="10"/>
        <rFont val="Courier New"/>
        <family val="3"/>
      </rPr>
      <t>!"#$%&amp;'()*+,-./0123456789:;&lt;=&gt;?@</t>
    </r>
  </si>
  <si>
    <t>Turn dial counterclockwise</t>
  </si>
  <si>
    <t>Controlling snap type with switches</t>
  </si>
  <si>
    <t>SW1* position</t>
  </si>
  <si>
    <t>SW2* position</t>
  </si>
  <si>
    <t>Resulting snap</t>
  </si>
  <si>
    <t>As displayed in 9C SNAP-ROLL screen</t>
  </si>
  <si>
    <t>up</t>
  </si>
  <si>
    <t>right / up</t>
  </si>
  <si>
    <t>(1:R/U)</t>
  </si>
  <si>
    <t>down</t>
  </si>
  <si>
    <t>left / up</t>
  </si>
  <si>
    <t>(2:L/U)</t>
  </si>
  <si>
    <t>right / down</t>
  </si>
  <si>
    <t>(3:R/D)</t>
  </si>
  <si>
    <t>left / down</t>
  </si>
  <si>
    <t>(4:L/D)</t>
  </si>
  <si>
    <t>*transmitter switch assigned in SNAP-ROLL screen.</t>
  </si>
  <si>
    <r>
      <t>Note:</t>
    </r>
    <r>
      <rPr>
        <sz val="10"/>
        <color indexed="10"/>
        <rFont val="Arial"/>
        <family val="2"/>
      </rPr>
      <t xml:space="preserve">  Transmitter works as described in this table: SW1 controls left/right and SW2 controls up/down components of snap (listed in "Resulting snap" column).  However, 9C manuals V1.0 and V1.2 incorrrectly say SW1 controls up/down and SW2 controls left/right.</t>
    </r>
  </si>
  <si>
    <t>Lists referenced by acrobatic record</t>
  </si>
  <si>
    <t>Name</t>
  </si>
  <si>
    <t>other_func</t>
  </si>
  <si>
    <t>model_select</t>
  </si>
  <si>
    <t>percent_0_140</t>
  </si>
  <si>
    <t>percent_100_0_100</t>
  </si>
  <si>
    <t>switch_dr_exp</t>
  </si>
  <si>
    <t>switch_pos</t>
  </si>
  <si>
    <t>trigger_point</t>
  </si>
  <si>
    <t>step_120_0_120</t>
  </si>
  <si>
    <t>reverse</t>
  </si>
  <si>
    <t>trim_step</t>
  </si>
  <si>
    <t>thr_cut_rate</t>
  </si>
  <si>
    <t>thr_cut_sw</t>
  </si>
  <si>
    <t>thr_cut_posi</t>
  </si>
  <si>
    <t>aux_ch_sw</t>
  </si>
  <si>
    <t>model_type</t>
  </si>
  <si>
    <t>timer_sw</t>
  </si>
  <si>
    <t>timer_sw_pos</t>
  </si>
  <si>
    <t>master</t>
  </si>
  <si>
    <t>slave</t>
  </si>
  <si>
    <t>mix_sw</t>
  </si>
  <si>
    <t>percent_120_0_120</t>
  </si>
  <si>
    <t>percent_0_100</t>
  </si>
  <si>
    <t>snap_sw</t>
  </si>
  <si>
    <t>thr_needle</t>
  </si>
  <si>
    <t>thr_needle_acce</t>
  </si>
  <si>
    <t>ch9_sw</t>
  </si>
  <si>
    <t>Range</t>
  </si>
  <si>
    <t>various</t>
  </si>
  <si>
    <t>01 to 14</t>
  </si>
  <si>
    <t>0% to 140%</t>
  </si>
  <si>
    <t>+100% to -100%</t>
  </si>
  <si>
    <t>switches A to H +</t>
  </si>
  <si>
    <t>0% to 100%</t>
  </si>
  <si>
    <t>nor, rev</t>
  </si>
  <si>
    <t>1 to 40</t>
  </si>
  <si>
    <t>1% to 40%</t>
  </si>
  <si>
    <t>A to H</t>
  </si>
  <si>
    <t>0.0% to 100.0%</t>
  </si>
  <si>
    <t>Used in</t>
  </si>
  <si>
    <t>Channel assign.</t>
  </si>
  <si>
    <t>DR/EXP.</t>
  </si>
  <si>
    <t>THR-NEEDLE</t>
  </si>
  <si>
    <t>Start of list</t>
  </si>
  <si>
    <t>(UP)</t>
  </si>
  <si>
    <t>Sw-A</t>
  </si>
  <si>
    <t>(CT)</t>
  </si>
  <si>
    <t>Up&amp;Cntr</t>
  </si>
  <si>
    <t>GLID(1FLP)</t>
  </si>
  <si>
    <t>(DN)</t>
  </si>
  <si>
    <t>Sw-C</t>
  </si>
  <si>
    <t>GLID(2FLP)</t>
  </si>
  <si>
    <t>Sw-D</t>
  </si>
  <si>
    <t>HELI(SWH1)</t>
  </si>
  <si>
    <t>HELI(SWH2)</t>
  </si>
  <si>
    <t>GEAR</t>
  </si>
  <si>
    <t>Sw-F</t>
  </si>
  <si>
    <t>HELI(SWH4)</t>
  </si>
  <si>
    <t>Left elevator</t>
  </si>
  <si>
    <t>Sw-G</t>
  </si>
  <si>
    <t>HELI(SR-3)</t>
  </si>
  <si>
    <t>*</t>
  </si>
  <si>
    <t>Right elevator</t>
  </si>
  <si>
    <t>Sw-H</t>
  </si>
  <si>
    <t>HELI(SN-3)</t>
  </si>
  <si>
    <t>Gear</t>
  </si>
  <si>
    <t>AIL</t>
  </si>
  <si>
    <t>STk-THR</t>
  </si>
  <si>
    <t>VrA</t>
  </si>
  <si>
    <t>Gear door</t>
  </si>
  <si>
    <t>ELE</t>
  </si>
  <si>
    <t>Vr-B</t>
  </si>
  <si>
    <t>PWR SW</t>
  </si>
  <si>
    <t>VrB</t>
  </si>
  <si>
    <t>Release</t>
  </si>
  <si>
    <t>THR</t>
  </si>
  <si>
    <t>Vr-C</t>
  </si>
  <si>
    <t>VrC</t>
  </si>
  <si>
    <t>Smoke</t>
  </si>
  <si>
    <t>RUD</t>
  </si>
  <si>
    <t>VrD</t>
  </si>
  <si>
    <t>Camera</t>
  </si>
  <si>
    <t>Vr-E</t>
  </si>
  <si>
    <t>VrE</t>
  </si>
  <si>
    <t>Choke</t>
  </si>
  <si>
    <t>Kill switch</t>
  </si>
  <si>
    <t>Eng. sync</t>
  </si>
  <si>
    <t>Needle</t>
  </si>
  <si>
    <t>Gyro</t>
  </si>
  <si>
    <t>Co-Pilot</t>
  </si>
  <si>
    <t>Pilot Assist</t>
  </si>
  <si>
    <t>Other</t>
  </si>
  <si>
    <t>Aileron</t>
  </si>
  <si>
    <t>Label on CAMPac storing this model</t>
  </si>
  <si>
    <t>- 10%</t>
  </si>
  <si>
    <t xml:space="preserve"> = switch/control can't be assigned to a function.</t>
  </si>
  <si>
    <t>Model Number</t>
  </si>
  <si>
    <t>Model Name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</si>
</sst>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6">
    <font>
      <sz val="10"/>
      <name val="Arial"/>
      <family val="0"/>
    </font>
    <font>
      <b/>
      <sz val="14"/>
      <name val="Arial"/>
      <family val="2"/>
    </font>
    <font>
      <u val="single"/>
      <sz val="8"/>
      <color indexed="12"/>
      <name val="Arial"/>
      <family val="2"/>
    </font>
    <font>
      <u val="single"/>
      <sz val="10"/>
      <color indexed="12"/>
      <name val="Arial"/>
      <family val="2"/>
    </font>
    <font>
      <sz val="8"/>
      <name val="Arial"/>
      <family val="2"/>
    </font>
    <font>
      <b/>
      <sz val="10"/>
      <name val="Arial"/>
      <family val="2"/>
    </font>
    <font>
      <sz val="10"/>
      <color indexed="22"/>
      <name val="Arial"/>
      <family val="2"/>
    </font>
    <font>
      <b/>
      <sz val="10"/>
      <color indexed="9"/>
      <name val="Arial"/>
      <family val="2"/>
    </font>
    <font>
      <i/>
      <sz val="10"/>
      <name val="Arial"/>
      <family val="2"/>
    </font>
    <font>
      <b/>
      <i/>
      <sz val="10"/>
      <name val="Arial"/>
      <family val="2"/>
    </font>
    <font>
      <b/>
      <sz val="10"/>
      <name val="Courier New"/>
      <family val="3"/>
    </font>
    <font>
      <b/>
      <sz val="10"/>
      <color indexed="9"/>
      <name val="Courier New"/>
      <family val="3"/>
    </font>
    <font>
      <b/>
      <i/>
      <sz val="10"/>
      <color indexed="9"/>
      <name val="Arial"/>
      <family val="2"/>
    </font>
    <font>
      <sz val="10"/>
      <color indexed="44"/>
      <name val="Arial"/>
      <family val="2"/>
    </font>
    <font>
      <i/>
      <sz val="10"/>
      <color indexed="10"/>
      <name val="Arial"/>
      <family val="2"/>
    </font>
    <font>
      <b/>
      <sz val="10"/>
      <color indexed="22"/>
      <name val="Courier New"/>
      <family val="3"/>
    </font>
    <font>
      <i/>
      <u val="single"/>
      <sz val="10"/>
      <name val="Arial"/>
      <family val="2"/>
    </font>
    <font>
      <i/>
      <u val="single"/>
      <sz val="10"/>
      <color indexed="12"/>
      <name val="Arial"/>
      <family val="2"/>
    </font>
    <font>
      <u val="single"/>
      <sz val="10"/>
      <name val="Arial"/>
      <family val="2"/>
    </font>
    <font>
      <b/>
      <sz val="12"/>
      <name val="Arial"/>
      <family val="2"/>
    </font>
    <font>
      <i/>
      <sz val="10"/>
      <color indexed="55"/>
      <name val="Arial"/>
      <family val="2"/>
    </font>
    <font>
      <b/>
      <sz val="10"/>
      <color indexed="22"/>
      <name val="Wingdings"/>
      <family val="0"/>
    </font>
    <font>
      <b/>
      <sz val="10"/>
      <color indexed="10"/>
      <name val="Arial"/>
      <family val="2"/>
    </font>
    <font>
      <sz val="10"/>
      <color indexed="10"/>
      <name val="Arial"/>
      <family val="2"/>
    </font>
    <font>
      <sz val="8"/>
      <name val="Tahoma"/>
      <family val="2"/>
    </font>
    <font>
      <u val="single"/>
      <sz val="10"/>
      <color indexed="36"/>
      <name val="Arial"/>
      <family val="0"/>
    </font>
  </fonts>
  <fills count="12">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2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s>
  <borders count="63">
    <border>
      <left/>
      <right/>
      <top/>
      <bottom/>
      <diagonal/>
    </border>
    <border>
      <left>
        <color indexed="63"/>
      </left>
      <right style="medium">
        <color indexed="12"/>
      </right>
      <top style="medium">
        <color indexed="22"/>
      </top>
      <bottom style="medium">
        <color indexed="22"/>
      </bottom>
    </border>
    <border>
      <left style="medium">
        <color indexed="22"/>
      </left>
      <right style="medium">
        <color indexed="22"/>
      </right>
      <top>
        <color indexed="63"/>
      </top>
      <bottom>
        <color indexed="63"/>
      </bottom>
    </border>
    <border>
      <left style="medium">
        <color indexed="22"/>
      </left>
      <right>
        <color indexed="63"/>
      </right>
      <top>
        <color indexed="63"/>
      </top>
      <bottom>
        <color indexed="63"/>
      </bottom>
    </border>
    <border>
      <left style="medium">
        <color indexed="12"/>
      </left>
      <right style="medium">
        <color indexed="12"/>
      </right>
      <top style="medium">
        <color indexed="12"/>
      </top>
      <bottom style="medium">
        <color indexed="12"/>
      </bottom>
    </border>
    <border>
      <left style="medium">
        <color indexed="44"/>
      </left>
      <right>
        <color indexed="63"/>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44"/>
      </bottom>
    </border>
    <border>
      <left>
        <color indexed="63"/>
      </left>
      <right>
        <color indexed="63"/>
      </right>
      <top>
        <color indexed="63"/>
      </top>
      <bottom style="medium">
        <color indexed="44"/>
      </bottom>
    </border>
    <border>
      <left style="medium">
        <color indexed="44"/>
      </left>
      <right style="medium">
        <color indexed="9"/>
      </right>
      <top style="medium">
        <color indexed="9"/>
      </top>
      <bottom style="medium">
        <color indexed="44"/>
      </bottom>
    </border>
    <border>
      <left>
        <color indexed="63"/>
      </left>
      <right style="medium">
        <color indexed="44"/>
      </right>
      <top>
        <color indexed="63"/>
      </top>
      <bottom style="medium">
        <color indexed="44"/>
      </bottom>
    </border>
    <border>
      <left>
        <color indexed="63"/>
      </left>
      <right>
        <color indexed="63"/>
      </right>
      <top>
        <color indexed="63"/>
      </top>
      <bottom style="medium">
        <color indexed="23"/>
      </bottom>
    </border>
    <border>
      <left style="medium">
        <color indexed="23"/>
      </left>
      <right>
        <color indexed="63"/>
      </right>
      <top>
        <color indexed="63"/>
      </top>
      <bottom>
        <color indexed="63"/>
      </bottom>
    </border>
    <border>
      <left style="medium">
        <color indexed="23"/>
      </left>
      <right>
        <color indexed="63"/>
      </right>
      <top style="medium">
        <color indexed="23"/>
      </top>
      <bottom>
        <color indexed="63"/>
      </bottom>
    </border>
    <border>
      <left style="medium">
        <color indexed="10"/>
      </left>
      <right style="medium">
        <color indexed="10"/>
      </right>
      <top style="medium">
        <color indexed="10"/>
      </top>
      <bottom style="medium">
        <color indexed="10"/>
      </bottom>
    </border>
    <border>
      <left>
        <color indexed="63"/>
      </left>
      <right>
        <color indexed="63"/>
      </right>
      <top style="medium">
        <color indexed="9"/>
      </top>
      <bottom style="medium">
        <color indexed="9"/>
      </bottom>
    </border>
    <border>
      <left>
        <color indexed="63"/>
      </left>
      <right>
        <color indexed="63"/>
      </right>
      <top style="medium">
        <color indexed="9"/>
      </top>
      <bottom>
        <color indexed="63"/>
      </bottom>
    </border>
    <border>
      <left>
        <color indexed="63"/>
      </left>
      <right>
        <color indexed="63"/>
      </right>
      <top style="medium">
        <color indexed="23"/>
      </top>
      <bottom>
        <color indexed="63"/>
      </bottom>
    </border>
    <border>
      <left>
        <color indexed="63"/>
      </left>
      <right>
        <color indexed="63"/>
      </right>
      <top style="medium">
        <color indexed="44"/>
      </top>
      <bottom>
        <color indexed="63"/>
      </bottom>
    </border>
    <border>
      <left>
        <color indexed="63"/>
      </left>
      <right style="thick">
        <color indexed="9"/>
      </right>
      <top>
        <color indexed="63"/>
      </top>
      <bottom>
        <color indexed="63"/>
      </bottom>
    </border>
    <border>
      <left style="medium"/>
      <right>
        <color indexed="63"/>
      </right>
      <top>
        <color indexed="63"/>
      </top>
      <bottom style="medium">
        <color indexed="9"/>
      </bottom>
    </border>
    <border>
      <left>
        <color indexed="63"/>
      </left>
      <right style="medium">
        <color indexed="9"/>
      </right>
      <top>
        <color indexed="63"/>
      </top>
      <bottom style="medium">
        <color indexed="9"/>
      </bottom>
    </border>
    <border>
      <left style="medium"/>
      <right>
        <color indexed="63"/>
      </right>
      <top>
        <color indexed="63"/>
      </top>
      <bottom>
        <color indexed="63"/>
      </bottom>
    </border>
    <border>
      <left style="thin"/>
      <right>
        <color indexed="63"/>
      </right>
      <top>
        <color indexed="63"/>
      </top>
      <bottom>
        <color indexed="63"/>
      </bottom>
    </border>
    <border>
      <left style="thin"/>
      <right style="medium">
        <color indexed="9"/>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medium">
        <color indexed="9"/>
      </top>
      <bottom style="medium">
        <color indexed="9"/>
      </bottom>
    </border>
    <border>
      <left>
        <color indexed="63"/>
      </left>
      <right style="medium">
        <color indexed="9"/>
      </right>
      <top style="medium">
        <color indexed="9"/>
      </top>
      <bottom style="medium">
        <color indexed="9"/>
      </bottom>
    </border>
    <border>
      <left>
        <color indexed="63"/>
      </left>
      <right>
        <color indexed="63"/>
      </right>
      <top>
        <color indexed="63"/>
      </top>
      <bottom style="medium">
        <color indexed="22"/>
      </bottom>
    </border>
    <border>
      <left>
        <color indexed="63"/>
      </left>
      <right>
        <color indexed="63"/>
      </right>
      <top style="medium">
        <color indexed="22"/>
      </top>
      <bottom style="medium">
        <color indexed="22"/>
      </bottom>
    </border>
    <border>
      <left style="medium">
        <color indexed="12"/>
      </left>
      <right style="medium">
        <color indexed="9"/>
      </right>
      <top>
        <color indexed="63"/>
      </top>
      <bottom>
        <color indexed="63"/>
      </bottom>
    </border>
    <border>
      <left>
        <color indexed="63"/>
      </left>
      <right>
        <color indexed="63"/>
      </right>
      <top style="medium">
        <color indexed="12"/>
      </top>
      <bottom style="medium">
        <color indexed="12"/>
      </bottom>
    </border>
    <border>
      <left style="thin"/>
      <right style="medium">
        <color indexed="9"/>
      </right>
      <top style="thin"/>
      <bottom>
        <color indexed="63"/>
      </bottom>
    </border>
    <border>
      <left style="medium">
        <color indexed="9"/>
      </left>
      <right style="medium">
        <color indexed="9"/>
      </right>
      <top style="thin"/>
      <bottom>
        <color indexed="63"/>
      </bottom>
    </border>
    <border>
      <left style="medium">
        <color indexed="9"/>
      </left>
      <right>
        <color indexed="63"/>
      </right>
      <top style="thin"/>
      <bottom>
        <color indexed="63"/>
      </bottom>
    </border>
    <border>
      <left>
        <color indexed="63"/>
      </left>
      <right style="medium">
        <color indexed="9"/>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color indexed="22"/>
      </bottom>
    </border>
    <border>
      <left>
        <color indexed="63"/>
      </left>
      <right style="thin"/>
      <top>
        <color indexed="63"/>
      </top>
      <bottom>
        <color indexed="63"/>
      </bottom>
    </border>
    <border>
      <left style="thin"/>
      <right>
        <color indexed="63"/>
      </right>
      <top style="medium">
        <color indexed="22"/>
      </top>
      <bottom style="medium">
        <color indexed="22"/>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medium">
        <color indexed="48"/>
      </left>
      <right style="medium">
        <color indexed="48"/>
      </right>
      <top style="medium">
        <color indexed="48"/>
      </top>
      <bottom style="medium">
        <color indexed="48"/>
      </bottom>
    </border>
    <border>
      <left style="medium">
        <color indexed="48"/>
      </left>
      <right>
        <color indexed="63"/>
      </right>
      <top style="medium">
        <color indexed="48"/>
      </top>
      <bottom style="medium">
        <color indexed="48"/>
      </bottom>
    </border>
    <border>
      <left>
        <color indexed="63"/>
      </left>
      <right style="medium">
        <color indexed="48"/>
      </right>
      <top style="medium">
        <color indexed="48"/>
      </top>
      <bottom style="medium">
        <color indexed="4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2" borderId="0" applyNumberFormat="0" applyBorder="0" applyProtection="0">
      <alignment/>
    </xf>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10" fillId="3" borderId="0" applyNumberFormat="0" applyFill="0" applyBorder="0" applyAlignment="0" applyProtection="0"/>
    <xf numFmtId="49" fontId="0" fillId="0" borderId="0" applyNumberFormat="0" applyFill="0" applyBorder="0" applyProtection="0">
      <alignment/>
    </xf>
    <xf numFmtId="9" fontId="0" fillId="0" borderId="0" applyFont="0" applyFill="0" applyBorder="0" applyAlignment="0" applyProtection="0"/>
  </cellStyleXfs>
  <cellXfs count="334">
    <xf numFmtId="0" fontId="0" fillId="0" borderId="0" xfId="0" applyAlignment="1">
      <alignment/>
    </xf>
    <xf numFmtId="0" fontId="2" fillId="0" borderId="0" xfId="21" applyFont="1" applyAlignment="1">
      <alignment vertical="top"/>
    </xf>
    <xf numFmtId="0" fontId="1" fillId="0" borderId="0" xfId="0" applyFont="1" applyFill="1" applyAlignment="1">
      <alignment/>
    </xf>
    <xf numFmtId="0" fontId="0" fillId="0" borderId="0" xfId="0" applyFill="1" applyAlignment="1">
      <alignment/>
    </xf>
    <xf numFmtId="0" fontId="1" fillId="0" borderId="0" xfId="0" applyFont="1" applyAlignment="1">
      <alignment/>
    </xf>
    <xf numFmtId="0" fontId="4" fillId="0" borderId="0" xfId="0" applyFont="1" applyAlignment="1">
      <alignment vertical="top"/>
    </xf>
    <xf numFmtId="15" fontId="4" fillId="0" borderId="0" xfId="0" applyNumberFormat="1" applyFont="1" applyAlignment="1" quotePrefix="1">
      <alignment vertical="top"/>
    </xf>
    <xf numFmtId="15" fontId="2" fillId="0" borderId="0" xfId="21" applyNumberFormat="1" applyFont="1" applyAlignment="1">
      <alignment vertical="top"/>
    </xf>
    <xf numFmtId="0" fontId="0" fillId="4" borderId="0" xfId="0" applyFill="1" applyAlignment="1">
      <alignment/>
    </xf>
    <xf numFmtId="0" fontId="5" fillId="5" borderId="1" xfId="0" applyFont="1" applyFill="1" applyBorder="1" applyAlignment="1">
      <alignment vertical="top" wrapText="1"/>
    </xf>
    <xf numFmtId="0" fontId="0" fillId="0" borderId="0" xfId="0" applyFont="1" applyAlignment="1">
      <alignment/>
    </xf>
    <xf numFmtId="0" fontId="5" fillId="5" borderId="0" xfId="0" applyFont="1" applyFill="1" applyAlignment="1">
      <alignment/>
    </xf>
    <xf numFmtId="0" fontId="0" fillId="5" borderId="0" xfId="0" applyFill="1" applyAlignment="1">
      <alignment/>
    </xf>
    <xf numFmtId="0" fontId="0" fillId="0" borderId="0" xfId="0" applyFont="1" applyFill="1" applyBorder="1" applyAlignment="1">
      <alignment horizontal="left"/>
    </xf>
    <xf numFmtId="0" fontId="0" fillId="0" borderId="0" xfId="0" applyAlignment="1" quotePrefix="1">
      <alignment/>
    </xf>
    <xf numFmtId="0" fontId="0" fillId="0" borderId="2" xfId="0" applyFont="1" applyFill="1" applyBorder="1" applyAlignment="1">
      <alignment horizontal="center"/>
    </xf>
    <xf numFmtId="0" fontId="0" fillId="0" borderId="2" xfId="0" applyFont="1" applyBorder="1" applyAlignment="1">
      <alignment horizontal="center"/>
    </xf>
    <xf numFmtId="0" fontId="6" fillId="0" borderId="3" xfId="0" applyFont="1" applyFill="1"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pplyProtection="1">
      <alignment horizontal="center"/>
      <protection locked="0"/>
    </xf>
    <xf numFmtId="0" fontId="0" fillId="3" borderId="4"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0" fillId="0" borderId="3" xfId="0" applyFill="1" applyBorder="1" applyAlignment="1">
      <alignment/>
    </xf>
    <xf numFmtId="0" fontId="0" fillId="0" borderId="0" xfId="0" applyFont="1" applyFill="1" applyAlignment="1">
      <alignment/>
    </xf>
    <xf numFmtId="0" fontId="0" fillId="0" borderId="0" xfId="0" applyFont="1" applyFill="1" applyAlignment="1">
      <alignment horizontal="center"/>
    </xf>
    <xf numFmtId="0" fontId="7" fillId="0" borderId="0" xfId="0" applyFont="1" applyFill="1" applyAlignment="1">
      <alignment horizontal="left"/>
    </xf>
    <xf numFmtId="0" fontId="0" fillId="0" borderId="0" xfId="0" applyFont="1" applyFill="1" applyAlignment="1">
      <alignment horizontal="left"/>
    </xf>
    <xf numFmtId="0" fontId="0" fillId="0" borderId="0" xfId="0" applyFont="1" applyFill="1" applyBorder="1" applyAlignment="1">
      <alignment/>
    </xf>
    <xf numFmtId="0" fontId="0" fillId="0" borderId="0" xfId="0" applyFont="1" applyFill="1" applyAlignment="1" quotePrefix="1">
      <alignment horizontal="left"/>
    </xf>
    <xf numFmtId="0" fontId="8" fillId="0" borderId="0" xfId="17" applyFont="1" applyFill="1" applyBorder="1">
      <alignment/>
    </xf>
    <xf numFmtId="0" fontId="8" fillId="0" borderId="0" xfId="17" applyFont="1" applyFill="1">
      <alignment/>
    </xf>
    <xf numFmtId="0" fontId="5" fillId="5" borderId="0" xfId="0" applyFont="1" applyFill="1" applyAlignment="1">
      <alignment vertical="center"/>
    </xf>
    <xf numFmtId="0" fontId="0" fillId="5" borderId="0" xfId="0" applyFont="1" applyFill="1" applyAlignment="1">
      <alignment horizontal="center"/>
    </xf>
    <xf numFmtId="49" fontId="0" fillId="0" borderId="4" xfId="0" applyNumberFormat="1" applyFont="1" applyFill="1" applyBorder="1" applyAlignment="1" applyProtection="1">
      <alignment horizontal="left"/>
      <protection locked="0"/>
    </xf>
    <xf numFmtId="0" fontId="0" fillId="0" borderId="0" xfId="0" applyFont="1" applyFill="1" applyAlignment="1">
      <alignment horizontal="right"/>
    </xf>
    <xf numFmtId="49" fontId="0" fillId="0" borderId="4" xfId="0" applyNumberFormat="1" applyFont="1" applyFill="1" applyBorder="1" applyAlignment="1" applyProtection="1">
      <alignment horizontal="right"/>
      <protection locked="0"/>
    </xf>
    <xf numFmtId="0" fontId="0" fillId="0" borderId="0" xfId="0" applyFill="1" applyAlignment="1">
      <alignment horizontal="left"/>
    </xf>
    <xf numFmtId="49" fontId="0" fillId="0" borderId="0" xfId="0" applyNumberFormat="1" applyFont="1" applyFill="1" applyBorder="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0" fontId="9" fillId="2" borderId="5" xfId="0" applyNumberFormat="1" applyFont="1" applyFill="1" applyBorder="1" applyAlignment="1">
      <alignment/>
    </xf>
    <xf numFmtId="0" fontId="0" fillId="2" borderId="0" xfId="0" applyFill="1" applyAlignment="1">
      <alignment/>
    </xf>
    <xf numFmtId="0" fontId="10" fillId="4" borderId="0" xfId="22" applyFont="1" applyFill="1" applyAlignment="1">
      <alignment/>
    </xf>
    <xf numFmtId="0" fontId="10" fillId="4" borderId="0" xfId="22" applyFill="1" applyAlignment="1">
      <alignment/>
    </xf>
    <xf numFmtId="0" fontId="10" fillId="0" borderId="0" xfId="22" applyFont="1" applyFill="1" applyAlignment="1">
      <alignment/>
    </xf>
    <xf numFmtId="0" fontId="10" fillId="0" borderId="0" xfId="22" applyFill="1" applyAlignment="1">
      <alignment/>
    </xf>
    <xf numFmtId="0" fontId="10" fillId="0" borderId="0" xfId="22" applyAlignment="1">
      <alignment/>
    </xf>
    <xf numFmtId="0" fontId="10" fillId="5" borderId="0" xfId="22" applyFill="1" applyAlignment="1">
      <alignment/>
    </xf>
    <xf numFmtId="0" fontId="10" fillId="0" borderId="0" xfId="22" applyAlignment="1">
      <alignment horizontal="right"/>
    </xf>
    <xf numFmtId="0" fontId="10" fillId="3" borderId="4" xfId="22" applyNumberFormat="1" applyFill="1" applyBorder="1" applyAlignment="1" applyProtection="1">
      <alignment/>
      <protection locked="0"/>
    </xf>
    <xf numFmtId="0" fontId="8" fillId="2" borderId="6" xfId="17" applyFont="1" applyFill="1" applyBorder="1">
      <alignment/>
    </xf>
    <xf numFmtId="0" fontId="0" fillId="0" borderId="4" xfId="0" applyBorder="1" applyAlignment="1" applyProtection="1">
      <alignment/>
      <protection locked="0"/>
    </xf>
    <xf numFmtId="49" fontId="8" fillId="2" borderId="7" xfId="17" applyNumberFormat="1" applyFont="1" applyFill="1" applyBorder="1">
      <alignment/>
    </xf>
    <xf numFmtId="0" fontId="0" fillId="2" borderId="8" xfId="0" applyFill="1" applyBorder="1" applyAlignment="1">
      <alignment/>
    </xf>
    <xf numFmtId="0" fontId="8" fillId="2" borderId="0" xfId="0" applyFont="1" applyFill="1" applyAlignment="1">
      <alignment/>
    </xf>
    <xf numFmtId="0" fontId="8" fillId="2" borderId="9" xfId="17" applyFont="1" applyFill="1" applyBorder="1">
      <alignment/>
    </xf>
    <xf numFmtId="0" fontId="0" fillId="2" borderId="10" xfId="0" applyFill="1" applyBorder="1" applyAlignment="1">
      <alignment/>
    </xf>
    <xf numFmtId="0" fontId="8" fillId="2" borderId="11" xfId="17" applyFont="1" applyFill="1" applyBorder="1">
      <alignment/>
    </xf>
    <xf numFmtId="0" fontId="3" fillId="0" borderId="10" xfId="21" applyBorder="1" applyAlignment="1">
      <alignment/>
    </xf>
    <xf numFmtId="0" fontId="0" fillId="0" borderId="12" xfId="0" applyBorder="1" applyAlignment="1">
      <alignment/>
    </xf>
    <xf numFmtId="0" fontId="0" fillId="0" borderId="0" xfId="0" applyFill="1" applyAlignment="1">
      <alignment horizontal="right"/>
    </xf>
    <xf numFmtId="0" fontId="0" fillId="0" borderId="0" xfId="0" applyFill="1" applyBorder="1" applyAlignment="1">
      <alignment horizontal="center"/>
    </xf>
    <xf numFmtId="0" fontId="0" fillId="0" borderId="0" xfId="0" applyFill="1" applyBorder="1" applyAlignment="1">
      <alignment/>
    </xf>
    <xf numFmtId="0" fontId="10" fillId="0" borderId="13" xfId="22" applyBorder="1" applyAlignment="1">
      <alignment/>
    </xf>
    <xf numFmtId="0" fontId="0" fillId="0" borderId="13" xfId="0" applyBorder="1" applyAlignment="1">
      <alignment/>
    </xf>
    <xf numFmtId="0" fontId="10" fillId="5" borderId="0" xfId="22" applyFill="1" applyBorder="1" applyAlignment="1">
      <alignment/>
    </xf>
    <xf numFmtId="0" fontId="10" fillId="0" borderId="0" xfId="22" applyBorder="1" applyAlignment="1">
      <alignment horizontal="right"/>
    </xf>
    <xf numFmtId="0" fontId="10" fillId="0" borderId="0" xfId="22" applyFill="1" applyBorder="1" applyAlignment="1">
      <alignment horizontal="right"/>
    </xf>
    <xf numFmtId="0" fontId="10" fillId="0" borderId="14" xfId="22" applyBorder="1" applyAlignment="1">
      <alignment horizontal="right"/>
    </xf>
    <xf numFmtId="0" fontId="10" fillId="0" borderId="14" xfId="22" applyFill="1" applyBorder="1" applyAlignment="1">
      <alignment horizontal="right"/>
    </xf>
    <xf numFmtId="0" fontId="10" fillId="0" borderId="15" xfId="22" applyBorder="1" applyAlignment="1">
      <alignment horizontal="right"/>
    </xf>
    <xf numFmtId="0" fontId="9" fillId="2" borderId="0" xfId="0" applyFont="1" applyFill="1" applyAlignment="1">
      <alignment/>
    </xf>
    <xf numFmtId="0" fontId="0" fillId="2" borderId="0" xfId="0" applyFill="1" applyAlignment="1">
      <alignment horizontal="right"/>
    </xf>
    <xf numFmtId="0" fontId="10" fillId="0" borderId="0" xfId="22" applyFill="1" applyAlignment="1">
      <alignment horizontal="right"/>
    </xf>
    <xf numFmtId="0" fontId="10" fillId="0" borderId="0" xfId="22" applyFont="1" applyFill="1" applyAlignment="1">
      <alignment horizontal="left"/>
    </xf>
    <xf numFmtId="0" fontId="8" fillId="2" borderId="0" xfId="17">
      <alignment/>
    </xf>
    <xf numFmtId="2" fontId="10" fillId="3" borderId="0" xfId="22" applyNumberFormat="1" applyFont="1" applyFill="1" applyAlignment="1" applyProtection="1" quotePrefix="1">
      <alignment horizontal="right"/>
      <protection locked="0"/>
    </xf>
    <xf numFmtId="2" fontId="10" fillId="3" borderId="14" xfId="22" applyNumberFormat="1" applyFont="1" applyFill="1" applyBorder="1" applyAlignment="1" applyProtection="1" quotePrefix="1">
      <alignment horizontal="right"/>
      <protection locked="0"/>
    </xf>
    <xf numFmtId="2" fontId="10" fillId="0" borderId="14" xfId="22" applyNumberFormat="1" applyFill="1" applyBorder="1" applyAlignment="1" quotePrefix="1">
      <alignment horizontal="right"/>
    </xf>
    <xf numFmtId="0" fontId="8" fillId="2" borderId="0" xfId="17" applyFont="1">
      <alignment/>
    </xf>
    <xf numFmtId="2" fontId="10" fillId="3" borderId="14" xfId="22" applyNumberFormat="1" applyFill="1" applyBorder="1" applyAlignment="1" applyProtection="1">
      <alignment horizontal="right"/>
      <protection locked="0"/>
    </xf>
    <xf numFmtId="2" fontId="10" fillId="0" borderId="0" xfId="22" applyNumberFormat="1" applyFill="1" applyAlignment="1" quotePrefix="1">
      <alignment horizontal="right"/>
    </xf>
    <xf numFmtId="2" fontId="10" fillId="0" borderId="14" xfId="22" applyNumberFormat="1" applyFill="1" applyBorder="1" applyAlignment="1">
      <alignment horizontal="right"/>
    </xf>
    <xf numFmtId="0" fontId="11" fillId="0" borderId="0" xfId="22" applyFont="1" applyAlignment="1">
      <alignment horizontal="right"/>
    </xf>
    <xf numFmtId="0" fontId="12" fillId="6" borderId="16" xfId="17" applyFont="1" applyFill="1" applyBorder="1">
      <alignment/>
    </xf>
    <xf numFmtId="2" fontId="10" fillId="7" borderId="0" xfId="22" applyNumberFormat="1" applyFill="1" applyAlignment="1" applyProtection="1">
      <alignment horizontal="right"/>
      <protection locked="0"/>
    </xf>
    <xf numFmtId="2" fontId="11" fillId="0" borderId="10" xfId="22" applyNumberFormat="1" applyFont="1" applyFill="1" applyBorder="1" applyAlignment="1" applyProtection="1">
      <alignment horizontal="right"/>
      <protection locked="0"/>
    </xf>
    <xf numFmtId="2" fontId="10" fillId="7" borderId="14" xfId="22" applyNumberFormat="1" applyFill="1" applyBorder="1" applyAlignment="1" applyProtection="1">
      <alignment horizontal="right"/>
      <protection locked="0"/>
    </xf>
    <xf numFmtId="0" fontId="0" fillId="0" borderId="0" xfId="0" applyBorder="1" applyAlignment="1">
      <alignment/>
    </xf>
    <xf numFmtId="0" fontId="13" fillId="2" borderId="0" xfId="0" applyFont="1" applyFill="1" applyAlignment="1">
      <alignment/>
    </xf>
    <xf numFmtId="0" fontId="0" fillId="0" borderId="0" xfId="0" applyAlignment="1">
      <alignment horizontal="right"/>
    </xf>
    <xf numFmtId="0" fontId="8" fillId="2" borderId="0" xfId="17" applyFont="1" applyBorder="1">
      <alignment/>
    </xf>
    <xf numFmtId="0" fontId="8" fillId="2" borderId="0" xfId="17" applyFont="1" applyFill="1">
      <alignment/>
    </xf>
    <xf numFmtId="0" fontId="0" fillId="2" borderId="0" xfId="0" applyFill="1" applyAlignment="1" quotePrefix="1">
      <alignment horizontal="right"/>
    </xf>
    <xf numFmtId="0" fontId="0" fillId="0" borderId="0" xfId="0" applyFill="1" applyAlignment="1" quotePrefix="1">
      <alignment horizontal="right"/>
    </xf>
    <xf numFmtId="1" fontId="10" fillId="3" borderId="0" xfId="22" applyNumberFormat="1" applyFill="1" applyBorder="1" applyAlignment="1" applyProtection="1">
      <alignment horizontal="left"/>
      <protection locked="0"/>
    </xf>
    <xf numFmtId="9" fontId="0" fillId="0" borderId="0" xfId="0" applyNumberFormat="1" applyFill="1" applyBorder="1" applyAlignment="1">
      <alignment horizontal="right"/>
    </xf>
    <xf numFmtId="0" fontId="0" fillId="2" borderId="0" xfId="0" applyFill="1" applyBorder="1" applyAlignment="1">
      <alignment horizontal="right"/>
    </xf>
    <xf numFmtId="0" fontId="0" fillId="2" borderId="0" xfId="0" applyFill="1" applyAlignment="1">
      <alignment horizontal="left"/>
    </xf>
    <xf numFmtId="1" fontId="10" fillId="0" borderId="0" xfId="22" applyNumberFormat="1" applyFill="1" applyBorder="1" applyAlignment="1">
      <alignment horizontal="right"/>
    </xf>
    <xf numFmtId="0" fontId="0" fillId="0" borderId="13" xfId="0" applyBorder="1" applyAlignment="1">
      <alignment horizontal="right"/>
    </xf>
    <xf numFmtId="0" fontId="10" fillId="3" borderId="0" xfId="22" applyFill="1" applyBorder="1" applyAlignment="1" applyProtection="1">
      <alignment/>
      <protection locked="0"/>
    </xf>
    <xf numFmtId="0" fontId="10" fillId="3" borderId="0" xfId="22" applyFill="1" applyBorder="1" applyAlignment="1" applyProtection="1">
      <alignment horizontal="left"/>
      <protection locked="0"/>
    </xf>
    <xf numFmtId="0" fontId="10" fillId="0" borderId="0" xfId="22" applyBorder="1" applyAlignment="1">
      <alignment horizontal="left"/>
    </xf>
    <xf numFmtId="0" fontId="10" fillId="0" borderId="0" xfId="22" applyFont="1" applyAlignment="1">
      <alignment horizontal="right"/>
    </xf>
    <xf numFmtId="0" fontId="10" fillId="3" borderId="0" xfId="22" applyFill="1" applyAlignment="1" applyProtection="1">
      <alignment horizontal="left"/>
      <protection locked="0"/>
    </xf>
    <xf numFmtId="0" fontId="10" fillId="0" borderId="0" xfId="22" applyFont="1" applyAlignment="1">
      <alignment/>
    </xf>
    <xf numFmtId="0" fontId="8" fillId="2" borderId="17" xfId="17" applyFont="1" applyBorder="1">
      <alignment/>
    </xf>
    <xf numFmtId="0" fontId="0" fillId="2" borderId="17" xfId="0" applyFill="1" applyBorder="1" applyAlignment="1">
      <alignment/>
    </xf>
    <xf numFmtId="0" fontId="8" fillId="2" borderId="18" xfId="17" applyFont="1" applyBorder="1">
      <alignment/>
    </xf>
    <xf numFmtId="0" fontId="0" fillId="2" borderId="18" xfId="0" applyFill="1" applyBorder="1" applyAlignment="1">
      <alignment/>
    </xf>
    <xf numFmtId="0" fontId="10" fillId="0" borderId="0" xfId="22" applyFill="1" applyAlignment="1">
      <alignment horizontal="left"/>
    </xf>
    <xf numFmtId="0" fontId="9" fillId="2" borderId="19" xfId="0" applyFont="1" applyFill="1" applyBorder="1" applyAlignment="1">
      <alignment/>
    </xf>
    <xf numFmtId="9" fontId="10" fillId="3" borderId="0" xfId="22" applyNumberFormat="1" applyFill="1" applyAlignment="1" applyProtection="1">
      <alignment horizontal="left"/>
      <protection locked="0"/>
    </xf>
    <xf numFmtId="0" fontId="0" fillId="0" borderId="0" xfId="0" applyBorder="1" applyAlignment="1" quotePrefix="1">
      <alignment/>
    </xf>
    <xf numFmtId="0" fontId="9" fillId="2" borderId="18" xfId="0" applyFont="1" applyFill="1" applyBorder="1" applyAlignment="1">
      <alignment/>
    </xf>
    <xf numFmtId="0" fontId="10" fillId="0" borderId="13" xfId="22" applyFill="1" applyBorder="1" applyAlignment="1">
      <alignment/>
    </xf>
    <xf numFmtId="0" fontId="10" fillId="0" borderId="13" xfId="22" applyFill="1" applyBorder="1" applyAlignment="1">
      <alignment horizontal="right"/>
    </xf>
    <xf numFmtId="0" fontId="0" fillId="0" borderId="13" xfId="0" applyFill="1" applyBorder="1" applyAlignment="1">
      <alignment/>
    </xf>
    <xf numFmtId="0" fontId="10" fillId="5" borderId="0" xfId="22" applyFont="1" applyFill="1" applyBorder="1" applyAlignment="1">
      <alignment/>
    </xf>
    <xf numFmtId="0" fontId="15" fillId="0" borderId="0" xfId="22" applyFont="1" applyBorder="1" applyAlignment="1">
      <alignment horizontal="right"/>
    </xf>
    <xf numFmtId="0" fontId="11" fillId="0" borderId="0" xfId="22" applyFont="1" applyFill="1" applyBorder="1" applyAlignment="1" applyProtection="1">
      <alignment horizontal="left"/>
      <protection locked="0"/>
    </xf>
    <xf numFmtId="0" fontId="11" fillId="0" borderId="0" xfId="22" applyFont="1" applyFill="1" applyBorder="1" applyAlignment="1">
      <alignment horizontal="left"/>
    </xf>
    <xf numFmtId="0" fontId="15" fillId="0" borderId="0" xfId="22" applyFont="1" applyFill="1" applyAlignment="1">
      <alignment horizontal="right"/>
    </xf>
    <xf numFmtId="0" fontId="11" fillId="0" borderId="0" xfId="22" applyFont="1" applyFill="1" applyAlignment="1" applyProtection="1">
      <alignment horizontal="left"/>
      <protection locked="0"/>
    </xf>
    <xf numFmtId="0" fontId="11" fillId="0" borderId="0" xfId="22" applyFont="1" applyFill="1" applyAlignment="1">
      <alignment horizontal="left"/>
    </xf>
    <xf numFmtId="0" fontId="11" fillId="0" borderId="0" xfId="22" applyFont="1" applyFill="1" applyAlignment="1" applyProtection="1">
      <alignment/>
      <protection locked="0"/>
    </xf>
    <xf numFmtId="0" fontId="10" fillId="0" borderId="0" xfId="22" applyFill="1" applyBorder="1" applyAlignment="1">
      <alignment horizontal="left"/>
    </xf>
    <xf numFmtId="0" fontId="8" fillId="2" borderId="8" xfId="17" applyFont="1" applyBorder="1">
      <alignment/>
    </xf>
    <xf numFmtId="0" fontId="10" fillId="7" borderId="0" xfId="22" applyFill="1" applyAlignment="1" applyProtection="1">
      <alignment horizontal="left"/>
      <protection locked="0"/>
    </xf>
    <xf numFmtId="0" fontId="10" fillId="3" borderId="0" xfId="22" applyFont="1" applyFill="1" applyAlignment="1" applyProtection="1">
      <alignment horizontal="left"/>
      <protection locked="0"/>
    </xf>
    <xf numFmtId="0" fontId="10" fillId="0" borderId="0" xfId="22" applyBorder="1" applyAlignment="1">
      <alignment/>
    </xf>
    <xf numFmtId="20" fontId="10" fillId="0" borderId="4" xfId="22" applyNumberFormat="1" applyFill="1" applyBorder="1" applyAlignment="1" applyProtection="1">
      <alignment horizontal="left"/>
      <protection locked="0"/>
    </xf>
    <xf numFmtId="0" fontId="8" fillId="2" borderId="20" xfId="17" applyFont="1" applyFill="1" applyBorder="1">
      <alignment/>
    </xf>
    <xf numFmtId="0" fontId="0" fillId="2" borderId="20" xfId="0" applyFill="1" applyBorder="1" applyAlignment="1">
      <alignment/>
    </xf>
    <xf numFmtId="0" fontId="10" fillId="3" borderId="0" xfId="22" applyFill="1" applyAlignment="1" applyProtection="1">
      <alignment/>
      <protection locked="0"/>
    </xf>
    <xf numFmtId="0" fontId="8" fillId="2" borderId="18" xfId="17" applyFont="1" applyFill="1" applyBorder="1">
      <alignment/>
    </xf>
    <xf numFmtId="0" fontId="10" fillId="3" borderId="0" xfId="22" applyFill="1" applyBorder="1" applyAlignment="1" applyProtection="1">
      <alignment/>
      <protection locked="0"/>
    </xf>
    <xf numFmtId="0" fontId="10" fillId="7" borderId="0" xfId="22" applyFill="1" applyAlignment="1">
      <alignment horizontal="right"/>
    </xf>
    <xf numFmtId="0" fontId="0" fillId="0" borderId="14" xfId="0" applyBorder="1" applyAlignment="1">
      <alignment/>
    </xf>
    <xf numFmtId="0" fontId="8" fillId="2" borderId="8" xfId="17" applyFont="1" applyFill="1" applyBorder="1">
      <alignment/>
    </xf>
    <xf numFmtId="0" fontId="10" fillId="0" borderId="14" xfId="22" applyBorder="1" applyAlignment="1">
      <alignment/>
    </xf>
    <xf numFmtId="9" fontId="10" fillId="3" borderId="0" xfId="22" applyNumberFormat="1" applyFill="1" applyAlignment="1" applyProtection="1">
      <alignment horizontal="right"/>
      <protection locked="0"/>
    </xf>
    <xf numFmtId="0" fontId="10" fillId="7" borderId="0" xfId="22" applyFill="1" applyAlignment="1" applyProtection="1">
      <alignment/>
      <protection locked="0"/>
    </xf>
    <xf numFmtId="0" fontId="8" fillId="2" borderId="17" xfId="17" applyFont="1" applyFill="1" applyBorder="1">
      <alignment/>
    </xf>
    <xf numFmtId="0" fontId="11" fillId="0" borderId="0" xfId="22" applyFont="1" applyFill="1" applyAlignment="1">
      <alignment horizontal="right"/>
    </xf>
    <xf numFmtId="0" fontId="10" fillId="0" borderId="14" xfId="22" applyFill="1" applyBorder="1" applyAlignment="1">
      <alignment/>
    </xf>
    <xf numFmtId="0" fontId="10" fillId="3" borderId="0" xfId="22" applyFont="1" applyFill="1" applyAlignment="1" applyProtection="1">
      <alignment/>
      <protection locked="0"/>
    </xf>
    <xf numFmtId="0" fontId="10" fillId="0" borderId="0" xfId="22" applyFill="1" applyBorder="1" applyAlignment="1">
      <alignment/>
    </xf>
    <xf numFmtId="0" fontId="16" fillId="2" borderId="0" xfId="17" applyFont="1" applyFill="1" applyBorder="1">
      <alignment/>
    </xf>
    <xf numFmtId="0" fontId="10" fillId="2" borderId="0" xfId="22" applyFill="1" applyAlignment="1">
      <alignment/>
    </xf>
    <xf numFmtId="0" fontId="8" fillId="2" borderId="0" xfId="17" applyFill="1">
      <alignment/>
    </xf>
    <xf numFmtId="0" fontId="8" fillId="0" borderId="0" xfId="17" applyFill="1">
      <alignment/>
    </xf>
    <xf numFmtId="9" fontId="10" fillId="0" borderId="0" xfId="22" applyNumberFormat="1" applyFont="1" applyFill="1" applyAlignment="1">
      <alignment horizontal="right"/>
    </xf>
    <xf numFmtId="0" fontId="10" fillId="7" borderId="0" xfId="22" applyFill="1" applyBorder="1" applyAlignment="1" applyProtection="1">
      <alignment/>
      <protection locked="0"/>
    </xf>
    <xf numFmtId="0" fontId="0" fillId="2" borderId="0" xfId="0" applyFill="1" applyAlignment="1" quotePrefix="1">
      <alignment/>
    </xf>
    <xf numFmtId="0" fontId="0" fillId="0" borderId="0" xfId="0" applyFill="1" applyAlignment="1" quotePrefix="1">
      <alignment/>
    </xf>
    <xf numFmtId="0" fontId="10" fillId="3" borderId="0" xfId="22" applyFont="1" applyFill="1" applyBorder="1" applyAlignment="1" applyProtection="1">
      <alignment/>
      <protection locked="0"/>
    </xf>
    <xf numFmtId="9" fontId="0" fillId="2" borderId="0" xfId="0" applyNumberFormat="1" applyFill="1" applyBorder="1" applyAlignment="1">
      <alignment/>
    </xf>
    <xf numFmtId="0" fontId="0" fillId="2" borderId="0" xfId="0" applyFill="1" applyBorder="1" applyAlignment="1" quotePrefix="1">
      <alignment/>
    </xf>
    <xf numFmtId="0" fontId="0" fillId="2" borderId="0" xfId="0" applyFill="1" applyBorder="1" applyAlignment="1">
      <alignment/>
    </xf>
    <xf numFmtId="0" fontId="9" fillId="0" borderId="0" xfId="0" applyNumberFormat="1" applyFont="1" applyAlignment="1">
      <alignment/>
    </xf>
    <xf numFmtId="9" fontId="0" fillId="2" borderId="8" xfId="0" applyNumberFormat="1" applyFill="1" applyBorder="1" applyAlignment="1">
      <alignment/>
    </xf>
    <xf numFmtId="0" fontId="0" fillId="2" borderId="8" xfId="0" applyFill="1" applyBorder="1" applyAlignment="1" quotePrefix="1">
      <alignment/>
    </xf>
    <xf numFmtId="0" fontId="10" fillId="0" borderId="0" xfId="22" applyFill="1" applyAlignment="1" quotePrefix="1">
      <alignment/>
    </xf>
    <xf numFmtId="0" fontId="10" fillId="0" borderId="0" xfId="22" applyFont="1" applyBorder="1" applyAlignment="1">
      <alignment/>
    </xf>
    <xf numFmtId="0" fontId="8" fillId="2" borderId="0" xfId="17" applyFont="1" applyFill="1" applyBorder="1">
      <alignment/>
    </xf>
    <xf numFmtId="0" fontId="17" fillId="0" borderId="10" xfId="21" applyFont="1" applyFill="1" applyBorder="1" applyAlignment="1">
      <alignment/>
    </xf>
    <xf numFmtId="0" fontId="0" fillId="0" borderId="12" xfId="0" applyFill="1" applyBorder="1" applyAlignment="1">
      <alignment/>
    </xf>
    <xf numFmtId="0" fontId="0" fillId="0" borderId="8" xfId="0" applyBorder="1" applyAlignment="1">
      <alignment/>
    </xf>
    <xf numFmtId="0" fontId="0" fillId="2" borderId="21" xfId="0" applyFill="1" applyBorder="1" applyAlignment="1">
      <alignment/>
    </xf>
    <xf numFmtId="0" fontId="0" fillId="0" borderId="21" xfId="0" applyFill="1" applyBorder="1" applyAlignment="1">
      <alignment/>
    </xf>
    <xf numFmtId="0" fontId="7" fillId="6" borderId="0" xfId="0" applyFont="1" applyFill="1" applyBorder="1" applyAlignment="1">
      <alignment/>
    </xf>
    <xf numFmtId="0" fontId="0" fillId="6" borderId="0" xfId="0" applyFill="1" applyAlignment="1">
      <alignment/>
    </xf>
    <xf numFmtId="0" fontId="5" fillId="0" borderId="0" xfId="0" applyFont="1" applyAlignment="1">
      <alignment/>
    </xf>
    <xf numFmtId="0" fontId="0" fillId="0" borderId="0" xfId="0" applyAlignment="1">
      <alignment horizontal="left" vertical="top" wrapText="1"/>
    </xf>
    <xf numFmtId="49" fontId="5"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8" borderId="0" xfId="0" applyFill="1" applyAlignment="1">
      <alignment/>
    </xf>
    <xf numFmtId="0" fontId="5" fillId="5" borderId="22" xfId="0" applyFont="1" applyFill="1" applyBorder="1" applyAlignment="1">
      <alignment/>
    </xf>
    <xf numFmtId="0" fontId="5" fillId="5" borderId="8" xfId="0" applyFont="1" applyFill="1" applyBorder="1" applyAlignment="1">
      <alignment/>
    </xf>
    <xf numFmtId="0" fontId="5" fillId="5" borderId="23" xfId="0" applyFont="1" applyFill="1" applyBorder="1" applyAlignment="1">
      <alignment/>
    </xf>
    <xf numFmtId="0" fontId="5" fillId="9" borderId="8" xfId="0" applyFont="1" applyFill="1" applyBorder="1" applyAlignment="1">
      <alignment/>
    </xf>
    <xf numFmtId="0" fontId="5" fillId="9" borderId="23" xfId="0" applyFont="1" applyFill="1" applyBorder="1" applyAlignment="1">
      <alignment/>
    </xf>
    <xf numFmtId="0" fontId="0" fillId="0" borderId="24" xfId="0" applyBorder="1" applyAlignment="1">
      <alignment/>
    </xf>
    <xf numFmtId="0" fontId="5" fillId="5" borderId="24" xfId="0" applyFont="1" applyFill="1" applyBorder="1" applyAlignment="1">
      <alignment/>
    </xf>
    <xf numFmtId="0" fontId="5" fillId="5" borderId="25" xfId="0" applyFont="1" applyFill="1" applyBorder="1" applyAlignment="1">
      <alignment/>
    </xf>
    <xf numFmtId="0" fontId="5" fillId="5" borderId="26" xfId="0" applyFont="1" applyFill="1" applyBorder="1" applyAlignment="1">
      <alignment/>
    </xf>
    <xf numFmtId="0" fontId="5" fillId="9" borderId="0" xfId="0" applyFont="1" applyFill="1" applyBorder="1" applyAlignment="1">
      <alignment/>
    </xf>
    <xf numFmtId="0" fontId="5" fillId="9" borderId="25" xfId="0" applyFont="1" applyFill="1" applyBorder="1" applyAlignment="1">
      <alignment/>
    </xf>
    <xf numFmtId="0" fontId="5" fillId="9" borderId="26" xfId="0" applyFont="1" applyFill="1" applyBorder="1" applyAlignment="1">
      <alignment/>
    </xf>
    <xf numFmtId="0" fontId="5" fillId="5" borderId="0" xfId="0" applyFont="1" applyFill="1" applyBorder="1" applyAlignment="1">
      <alignment/>
    </xf>
    <xf numFmtId="0" fontId="0" fillId="0" borderId="25" xfId="0" applyBorder="1" applyAlignment="1">
      <alignment/>
    </xf>
    <xf numFmtId="0" fontId="0" fillId="10" borderId="0" xfId="0" applyFill="1" applyAlignment="1">
      <alignment/>
    </xf>
    <xf numFmtId="0" fontId="0" fillId="10" borderId="24" xfId="0" applyFill="1" applyBorder="1" applyAlignment="1">
      <alignment/>
    </xf>
    <xf numFmtId="0" fontId="0" fillId="10" borderId="25" xfId="0" applyFill="1" applyBorder="1" applyAlignment="1">
      <alignment/>
    </xf>
    <xf numFmtId="0" fontId="0" fillId="8" borderId="25" xfId="0" applyFill="1" applyBorder="1" applyAlignment="1">
      <alignment/>
    </xf>
    <xf numFmtId="0" fontId="0" fillId="11" borderId="0" xfId="0" applyFill="1" applyAlignment="1">
      <alignment/>
    </xf>
    <xf numFmtId="0" fontId="0" fillId="11" borderId="24" xfId="0" applyFill="1" applyBorder="1" applyAlignment="1">
      <alignment/>
    </xf>
    <xf numFmtId="0" fontId="0" fillId="11" borderId="25" xfId="0" applyFill="1" applyBorder="1" applyAlignment="1">
      <alignment/>
    </xf>
    <xf numFmtId="0" fontId="0" fillId="10" borderId="0" xfId="0" applyFont="1" applyFill="1" applyAlignment="1">
      <alignment/>
    </xf>
    <xf numFmtId="0" fontId="0" fillId="0" borderId="24" xfId="0" applyFill="1" applyBorder="1" applyAlignment="1">
      <alignment/>
    </xf>
    <xf numFmtId="0" fontId="0" fillId="0" borderId="25" xfId="0" applyFill="1" applyBorder="1" applyAlignment="1">
      <alignment/>
    </xf>
    <xf numFmtId="0" fontId="0" fillId="8" borderId="24" xfId="0" applyFill="1" applyBorder="1" applyAlignment="1">
      <alignment/>
    </xf>
    <xf numFmtId="0" fontId="0" fillId="11" borderId="27" xfId="0" applyFill="1" applyBorder="1" applyAlignment="1">
      <alignment/>
    </xf>
    <xf numFmtId="0" fontId="0" fillId="11" borderId="28" xfId="0" applyFill="1" applyBorder="1" applyAlignment="1">
      <alignment/>
    </xf>
    <xf numFmtId="0" fontId="0" fillId="11" borderId="29" xfId="0" applyFill="1" applyBorder="1" applyAlignment="1">
      <alignment/>
    </xf>
    <xf numFmtId="0" fontId="0" fillId="0" borderId="30" xfId="0" applyBorder="1" applyAlignment="1">
      <alignment/>
    </xf>
    <xf numFmtId="0" fontId="0" fillId="11" borderId="30" xfId="0" applyFill="1" applyBorder="1" applyAlignment="1">
      <alignment/>
    </xf>
    <xf numFmtId="0" fontId="0" fillId="11" borderId="31" xfId="0" applyFill="1" applyBorder="1" applyAlignment="1">
      <alignment/>
    </xf>
    <xf numFmtId="0" fontId="0" fillId="11" borderId="32" xfId="0" applyFill="1" applyBorder="1" applyAlignment="1">
      <alignment/>
    </xf>
    <xf numFmtId="0" fontId="0" fillId="11" borderId="33" xfId="0" applyFill="1" applyBorder="1" applyAlignment="1">
      <alignment/>
    </xf>
    <xf numFmtId="0" fontId="0" fillId="8" borderId="27" xfId="0" applyFill="1" applyBorder="1" applyAlignment="1">
      <alignment/>
    </xf>
    <xf numFmtId="0" fontId="0" fillId="8" borderId="28" xfId="0" applyFill="1" applyBorder="1" applyAlignment="1">
      <alignment/>
    </xf>
    <xf numFmtId="0" fontId="0" fillId="0" borderId="28" xfId="0" applyBorder="1" applyAlignment="1">
      <alignment/>
    </xf>
    <xf numFmtId="0" fontId="5" fillId="5" borderId="34" xfId="0" applyFont="1" applyFill="1" applyBorder="1" applyAlignment="1">
      <alignment/>
    </xf>
    <xf numFmtId="0" fontId="5" fillId="5" borderId="17" xfId="0" applyFont="1" applyFill="1" applyBorder="1" applyAlignment="1">
      <alignment/>
    </xf>
    <xf numFmtId="0" fontId="5" fillId="5" borderId="35" xfId="0" applyFont="1" applyFill="1" applyBorder="1" applyAlignment="1">
      <alignment/>
    </xf>
    <xf numFmtId="0" fontId="5" fillId="9" borderId="17" xfId="0" applyFont="1" applyFill="1" applyBorder="1" applyAlignment="1">
      <alignment/>
    </xf>
    <xf numFmtId="0" fontId="5" fillId="9" borderId="35" xfId="0" applyFont="1" applyFill="1" applyBorder="1" applyAlignment="1">
      <alignment/>
    </xf>
    <xf numFmtId="0" fontId="0" fillId="0" borderId="22" xfId="0" applyBorder="1" applyAlignment="1">
      <alignment/>
    </xf>
    <xf numFmtId="0" fontId="20" fillId="0" borderId="0" xfId="0" applyFont="1" applyAlignment="1">
      <alignment horizontal="center"/>
    </xf>
    <xf numFmtId="0" fontId="20" fillId="0" borderId="0" xfId="0" applyFont="1" applyAlignment="1">
      <alignment/>
    </xf>
    <xf numFmtId="0" fontId="20" fillId="0" borderId="0" xfId="0" applyFont="1" applyAlignment="1">
      <alignment horizontal="right"/>
    </xf>
    <xf numFmtId="0" fontId="0" fillId="0" borderId="36" xfId="0" applyBorder="1" applyAlignment="1">
      <alignment horizontal="right" vertical="center"/>
    </xf>
    <xf numFmtId="0" fontId="0" fillId="0" borderId="36" xfId="0" applyBorder="1" applyAlignment="1">
      <alignment vertical="center"/>
    </xf>
    <xf numFmtId="0" fontId="10" fillId="0" borderId="36" xfId="22" applyBorder="1" applyAlignment="1">
      <alignment vertical="center"/>
    </xf>
    <xf numFmtId="0" fontId="0" fillId="0" borderId="37" xfId="0" applyBorder="1" applyAlignment="1">
      <alignment horizontal="right" vertical="center"/>
    </xf>
    <xf numFmtId="0" fontId="0" fillId="0" borderId="37" xfId="0" applyBorder="1" applyAlignment="1">
      <alignment vertical="center"/>
    </xf>
    <xf numFmtId="20" fontId="10" fillId="0" borderId="37" xfId="22" applyNumberFormat="1" applyBorder="1" applyAlignment="1">
      <alignment vertical="center"/>
    </xf>
    <xf numFmtId="0" fontId="10" fillId="0" borderId="37" xfId="22" applyBorder="1" applyAlignment="1">
      <alignment vertical="center"/>
    </xf>
    <xf numFmtId="0" fontId="0" fillId="0" borderId="0" xfId="0" applyAlignment="1">
      <alignment horizontal="left"/>
    </xf>
    <xf numFmtId="0" fontId="8" fillId="0" borderId="0" xfId="0" applyFont="1" applyBorder="1" applyAlignment="1">
      <alignment/>
    </xf>
    <xf numFmtId="49" fontId="0" fillId="0" borderId="0" xfId="0" applyNumberFormat="1" applyAlignment="1">
      <alignment horizontal="left" vertical="top"/>
    </xf>
    <xf numFmtId="49" fontId="0" fillId="0" borderId="0" xfId="0" applyNumberFormat="1" applyAlignment="1">
      <alignment vertical="top"/>
    </xf>
    <xf numFmtId="0" fontId="0" fillId="0" borderId="0" xfId="0" applyAlignment="1">
      <alignment vertical="top"/>
    </xf>
    <xf numFmtId="49" fontId="0" fillId="0" borderId="0" xfId="0" applyNumberFormat="1" applyAlignment="1">
      <alignment/>
    </xf>
    <xf numFmtId="49" fontId="19" fillId="0" borderId="0" xfId="23" applyNumberFormat="1" applyFont="1">
      <alignment/>
    </xf>
    <xf numFmtId="49" fontId="0" fillId="0" borderId="0" xfId="23" applyNumberFormat="1" quotePrefix="1">
      <alignment/>
    </xf>
    <xf numFmtId="0" fontId="0" fillId="0" borderId="0" xfId="23">
      <alignment/>
    </xf>
    <xf numFmtId="2" fontId="0" fillId="0" borderId="0" xfId="23" applyNumberFormat="1" applyAlignment="1">
      <alignment horizontal="right"/>
    </xf>
    <xf numFmtId="2" fontId="0" fillId="0" borderId="0" xfId="23" applyNumberFormat="1">
      <alignment/>
    </xf>
    <xf numFmtId="0" fontId="0" fillId="0" borderId="0" xfId="23" applyAlignment="1">
      <alignment horizontal="right"/>
    </xf>
    <xf numFmtId="0" fontId="0" fillId="0" borderId="0" xfId="23" applyAlignment="1">
      <alignment/>
    </xf>
    <xf numFmtId="0" fontId="0" fillId="0" borderId="0" xfId="23" applyFont="1" applyAlignment="1">
      <alignment horizontal="left"/>
    </xf>
    <xf numFmtId="0" fontId="5" fillId="0" borderId="0" xfId="23" applyFont="1" applyAlignment="1">
      <alignment horizontal="right"/>
    </xf>
    <xf numFmtId="2" fontId="5" fillId="0" borderId="0" xfId="23" applyNumberFormat="1" applyFont="1" applyAlignment="1">
      <alignment horizontal="right"/>
    </xf>
    <xf numFmtId="0" fontId="5" fillId="0" borderId="0" xfId="23" applyFont="1" applyFill="1" applyAlignment="1">
      <alignment horizontal="right"/>
    </xf>
    <xf numFmtId="0" fontId="5" fillId="0" borderId="0" xfId="23" applyFont="1">
      <alignment/>
    </xf>
    <xf numFmtId="0" fontId="0" fillId="0" borderId="0" xfId="23" applyFont="1" applyAlignment="1">
      <alignment horizontal="right"/>
    </xf>
    <xf numFmtId="0" fontId="0" fillId="0" borderId="0" xfId="23" applyFont="1" applyAlignment="1" quotePrefix="1">
      <alignment horizontal="right"/>
    </xf>
    <xf numFmtId="2" fontId="0" fillId="0" borderId="0" xfId="23" applyNumberFormat="1" applyAlignment="1" quotePrefix="1">
      <alignment horizontal="right"/>
    </xf>
    <xf numFmtId="2" fontId="0" fillId="0" borderId="0" xfId="23" applyNumberFormat="1" applyFont="1" applyAlignment="1" quotePrefix="1">
      <alignment horizontal="right"/>
    </xf>
    <xf numFmtId="2" fontId="0" fillId="0" borderId="0" xfId="23" applyNumberFormat="1" applyFont="1" applyAlignment="1">
      <alignment horizontal="right"/>
    </xf>
    <xf numFmtId="49" fontId="0" fillId="5" borderId="0" xfId="23" applyNumberFormat="1" applyFill="1" quotePrefix="1">
      <alignment/>
    </xf>
    <xf numFmtId="49" fontId="0" fillId="5" borderId="0" xfId="23" applyNumberFormat="1" applyFill="1">
      <alignment/>
    </xf>
    <xf numFmtId="0" fontId="0" fillId="5" borderId="0" xfId="23" applyFill="1">
      <alignment/>
    </xf>
    <xf numFmtId="2" fontId="0" fillId="5" borderId="0" xfId="23" applyNumberFormat="1" applyFill="1" applyAlignment="1">
      <alignment horizontal="right"/>
    </xf>
    <xf numFmtId="2" fontId="0" fillId="5" borderId="0" xfId="23" applyNumberFormat="1" applyFill="1">
      <alignment/>
    </xf>
    <xf numFmtId="0" fontId="0" fillId="5" borderId="0" xfId="23" applyFill="1" applyAlignment="1">
      <alignment horizontal="right"/>
    </xf>
    <xf numFmtId="0" fontId="0" fillId="5" borderId="0" xfId="23" applyFill="1" applyAlignment="1">
      <alignment/>
    </xf>
    <xf numFmtId="49" fontId="5" fillId="0" borderId="0" xfId="23" applyNumberFormat="1" applyFont="1" applyAlignment="1">
      <alignment horizontal="right"/>
    </xf>
    <xf numFmtId="49" fontId="0" fillId="0" borderId="0" xfId="23" applyNumberFormat="1" applyFont="1">
      <alignment/>
    </xf>
    <xf numFmtId="0" fontId="0" fillId="0" borderId="0" xfId="23" applyNumberFormat="1" applyFont="1" applyAlignment="1">
      <alignment horizontal="right"/>
    </xf>
    <xf numFmtId="0" fontId="0" fillId="0" borderId="0" xfId="23" applyNumberFormat="1" applyAlignment="1">
      <alignment horizontal="right"/>
    </xf>
    <xf numFmtId="49" fontId="0" fillId="0" borderId="0" xfId="23" applyNumberFormat="1">
      <alignment/>
    </xf>
    <xf numFmtId="0" fontId="0" fillId="0" borderId="0" xfId="23" applyNumberFormat="1" applyFont="1" applyAlignment="1" quotePrefix="1">
      <alignment horizontal="right"/>
    </xf>
    <xf numFmtId="49" fontId="10" fillId="0" borderId="4" xfId="22" applyNumberFormat="1" applyFill="1" applyBorder="1" applyAlignment="1" applyProtection="1">
      <alignment horizontal="left"/>
      <protection locked="0"/>
    </xf>
    <xf numFmtId="0" fontId="0" fillId="0" borderId="38" xfId="0" applyBorder="1" applyAlignment="1">
      <alignment/>
    </xf>
    <xf numFmtId="0" fontId="10" fillId="0" borderId="0" xfId="22" applyFont="1" applyFill="1" applyBorder="1" applyAlignment="1" applyProtection="1">
      <alignment horizontal="left"/>
      <protection/>
    </xf>
    <xf numFmtId="0" fontId="10" fillId="7" borderId="0" xfId="22" applyFont="1" applyFill="1" applyAlignment="1" applyProtection="1">
      <alignment/>
      <protection locked="0"/>
    </xf>
    <xf numFmtId="9" fontId="0" fillId="0" borderId="0" xfId="23" applyNumberFormat="1" applyAlignment="1">
      <alignment horizontal="right"/>
    </xf>
    <xf numFmtId="0" fontId="10" fillId="3" borderId="0" xfId="22" applyFont="1" applyFill="1" applyAlignment="1" applyProtection="1">
      <alignment horizontal="right"/>
      <protection locked="0"/>
    </xf>
    <xf numFmtId="0" fontId="10" fillId="3" borderId="14" xfId="22" applyFont="1" applyFill="1" applyBorder="1" applyAlignment="1" applyProtection="1">
      <alignment horizontal="right"/>
      <protection locked="0"/>
    </xf>
    <xf numFmtId="2" fontId="10" fillId="3" borderId="14" xfId="22" applyNumberFormat="1" applyFont="1" applyFill="1" applyBorder="1" applyAlignment="1">
      <alignment horizontal="right"/>
    </xf>
    <xf numFmtId="0" fontId="1" fillId="0" borderId="39" xfId="0" applyFont="1" applyFill="1" applyBorder="1" applyAlignment="1" applyProtection="1">
      <alignment horizontal="left" vertical="center"/>
      <protection locked="0"/>
    </xf>
    <xf numFmtId="9" fontId="10" fillId="3" borderId="0" xfId="22" applyNumberFormat="1" applyFill="1" applyAlignment="1" applyProtection="1">
      <alignment/>
      <protection locked="0"/>
    </xf>
    <xf numFmtId="0" fontId="5" fillId="5" borderId="40" xfId="0" applyFont="1" applyFill="1" applyBorder="1" applyAlignment="1">
      <alignment/>
    </xf>
    <xf numFmtId="0" fontId="5" fillId="5" borderId="41" xfId="0" applyFont="1" applyFill="1" applyBorder="1" applyAlignment="1">
      <alignment/>
    </xf>
    <xf numFmtId="0" fontId="5" fillId="5" borderId="42" xfId="0" applyFont="1" applyFill="1" applyBorder="1" applyAlignment="1">
      <alignment/>
    </xf>
    <xf numFmtId="0" fontId="5" fillId="5" borderId="43" xfId="0" applyFont="1" applyFill="1"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horizontal="right" vertical="center"/>
    </xf>
    <xf numFmtId="0" fontId="0" fillId="0" borderId="47" xfId="0" applyBorder="1" applyAlignment="1">
      <alignment/>
    </xf>
    <xf numFmtId="0" fontId="0" fillId="0" borderId="48" xfId="0" applyBorder="1" applyAlignment="1">
      <alignment horizontal="right" vertical="center"/>
    </xf>
    <xf numFmtId="49" fontId="4" fillId="0" borderId="49" xfId="0" applyNumberFormat="1" applyFont="1" applyFill="1" applyBorder="1" applyAlignment="1">
      <alignment horizontal="left" vertical="center"/>
    </xf>
    <xf numFmtId="0" fontId="0" fillId="0" borderId="50" xfId="0" applyBorder="1" applyAlignment="1">
      <alignment/>
    </xf>
    <xf numFmtId="0" fontId="0" fillId="0" borderId="51" xfId="0" applyBorder="1" applyAlignment="1">
      <alignment/>
    </xf>
    <xf numFmtId="0" fontId="8" fillId="0" borderId="0" xfId="0" applyFont="1" applyBorder="1" applyAlignment="1">
      <alignment horizontal="left"/>
    </xf>
    <xf numFmtId="49" fontId="0" fillId="0" borderId="0" xfId="0" applyNumberFormat="1" applyBorder="1" applyAlignment="1">
      <alignment horizontal="left" vertical="top"/>
    </xf>
    <xf numFmtId="0" fontId="9" fillId="2" borderId="19" xfId="0" applyFont="1" applyFill="1" applyBorder="1" applyAlignment="1">
      <alignment/>
    </xf>
    <xf numFmtId="0" fontId="0" fillId="2" borderId="19" xfId="0" applyFill="1" applyBorder="1" applyAlignment="1">
      <alignment/>
    </xf>
    <xf numFmtId="0" fontId="1" fillId="0" borderId="52" xfId="0" applyFont="1" applyFill="1" applyBorder="1" applyAlignment="1" applyProtection="1">
      <alignment horizontal="left" vertical="center"/>
      <protection locked="0"/>
    </xf>
    <xf numFmtId="0" fontId="1" fillId="0" borderId="53" xfId="0" applyFont="1" applyFill="1" applyBorder="1" applyAlignment="1" applyProtection="1">
      <alignment horizontal="left" vertical="center"/>
      <protection locked="0"/>
    </xf>
    <xf numFmtId="49" fontId="0" fillId="0" borderId="52" xfId="0" applyNumberFormat="1" applyFill="1" applyBorder="1" applyAlignment="1" applyProtection="1">
      <alignment horizontal="left" vertical="top" wrapText="1"/>
      <protection locked="0"/>
    </xf>
    <xf numFmtId="49" fontId="0" fillId="0" borderId="39" xfId="0" applyNumberFormat="1" applyBorder="1" applyAlignment="1" applyProtection="1">
      <alignment/>
      <protection locked="0"/>
    </xf>
    <xf numFmtId="49" fontId="0" fillId="0" borderId="53" xfId="0" applyNumberFormat="1" applyBorder="1" applyAlignment="1" applyProtection="1">
      <alignment/>
      <protection locked="0"/>
    </xf>
    <xf numFmtId="49" fontId="0" fillId="0" borderId="52" xfId="0" applyNumberFormat="1" applyFont="1" applyFill="1" applyBorder="1" applyAlignment="1" applyProtection="1">
      <alignment horizontal="left"/>
      <protection locked="0"/>
    </xf>
    <xf numFmtId="49" fontId="0" fillId="0" borderId="53" xfId="0" applyNumberFormat="1" applyFont="1" applyFill="1" applyBorder="1" applyAlignment="1" applyProtection="1">
      <alignment horizontal="left"/>
      <protection locked="0"/>
    </xf>
    <xf numFmtId="49" fontId="0" fillId="0" borderId="52" xfId="0" applyNumberFormat="1" applyFont="1" applyFill="1" applyBorder="1" applyAlignment="1" applyProtection="1">
      <alignment horizontal="center"/>
      <protection locked="0"/>
    </xf>
    <xf numFmtId="49" fontId="0" fillId="0" borderId="53" xfId="0" applyNumberFormat="1" applyFont="1" applyFill="1" applyBorder="1" applyAlignment="1" applyProtection="1">
      <alignment horizontal="center"/>
      <protection locked="0"/>
    </xf>
    <xf numFmtId="49" fontId="0" fillId="0" borderId="52" xfId="0" applyNumberFormat="1" applyFont="1" applyFill="1" applyBorder="1" applyAlignment="1" applyProtection="1">
      <alignment horizontal="right"/>
      <protection locked="0"/>
    </xf>
    <xf numFmtId="49" fontId="0" fillId="0" borderId="53" xfId="0" applyNumberFormat="1" applyFont="1" applyFill="1" applyBorder="1" applyAlignment="1" applyProtection="1">
      <alignment horizontal="right"/>
      <protection locked="0"/>
    </xf>
    <xf numFmtId="0" fontId="0" fillId="0" borderId="0" xfId="0" applyAlignment="1">
      <alignment horizontal="left" vertical="top" wrapText="1"/>
    </xf>
    <xf numFmtId="49" fontId="5" fillId="0" borderId="0" xfId="0" applyNumberFormat="1" applyFont="1" applyAlignment="1">
      <alignment horizontal="left" vertical="top" wrapText="1"/>
    </xf>
    <xf numFmtId="0" fontId="0" fillId="0" borderId="0" xfId="0" applyAlignment="1">
      <alignment/>
    </xf>
    <xf numFmtId="0" fontId="5" fillId="0" borderId="0" xfId="0" applyFont="1" applyAlignment="1">
      <alignment horizontal="left" vertical="top" wrapText="1"/>
    </xf>
    <xf numFmtId="0" fontId="19" fillId="0" borderId="54" xfId="0" applyFont="1" applyBorder="1" applyAlignment="1">
      <alignment/>
    </xf>
    <xf numFmtId="0" fontId="0" fillId="0" borderId="55" xfId="0" applyBorder="1" applyAlignment="1">
      <alignment/>
    </xf>
    <xf numFmtId="0" fontId="0" fillId="0" borderId="56" xfId="0" applyBorder="1" applyAlignment="1">
      <alignment/>
    </xf>
    <xf numFmtId="0" fontId="0" fillId="0" borderId="54" xfId="0" applyBorder="1" applyAlignment="1">
      <alignment/>
    </xf>
    <xf numFmtId="0" fontId="10" fillId="0" borderId="0" xfId="22" applyFont="1" applyAlignment="1">
      <alignment/>
    </xf>
    <xf numFmtId="0" fontId="0" fillId="0" borderId="0" xfId="0" applyAlignment="1">
      <alignment/>
    </xf>
    <xf numFmtId="0" fontId="22" fillId="0" borderId="57" xfId="0" applyFont="1" applyFill="1" applyBorder="1" applyAlignment="1">
      <alignment horizontal="left" vertical="center" wrapText="1"/>
    </xf>
    <xf numFmtId="0" fontId="23" fillId="0" borderId="58" xfId="0" applyFont="1" applyFill="1" applyBorder="1" applyAlignment="1">
      <alignment horizontal="left" vertical="center" wrapText="1"/>
    </xf>
    <xf numFmtId="0" fontId="23" fillId="0" borderId="59" xfId="0" applyFont="1" applyFill="1" applyBorder="1" applyAlignment="1">
      <alignment horizontal="left" vertical="center" wrapText="1"/>
    </xf>
    <xf numFmtId="0" fontId="5" fillId="0" borderId="0" xfId="0" applyFont="1" applyAlignment="1">
      <alignment horizontal="left"/>
    </xf>
    <xf numFmtId="0" fontId="8" fillId="0" borderId="0" xfId="0" applyFont="1" applyBorder="1" applyAlignment="1">
      <alignment horizontal="left"/>
    </xf>
    <xf numFmtId="49" fontId="0" fillId="0" borderId="0" xfId="0" applyNumberFormat="1" applyBorder="1" applyAlignment="1">
      <alignment horizontal="left" vertical="top"/>
    </xf>
    <xf numFmtId="49" fontId="0" fillId="0" borderId="0" xfId="0" applyNumberFormat="1" applyBorder="1" applyAlignment="1">
      <alignment horizontal="left" vertical="top" wrapText="1"/>
    </xf>
    <xf numFmtId="14" fontId="0" fillId="0" borderId="0" xfId="0" applyNumberFormat="1" applyAlignment="1">
      <alignment horizontal="left" vertical="top"/>
    </xf>
    <xf numFmtId="0" fontId="0" fillId="0" borderId="0" xfId="0" applyBorder="1" applyAlignment="1">
      <alignment horizontal="left" vertical="top" wrapText="1"/>
    </xf>
    <xf numFmtId="0" fontId="5" fillId="0" borderId="60" xfId="0" applyFont="1" applyBorder="1" applyAlignment="1">
      <alignment horizontal="center" vertical="center"/>
    </xf>
    <xf numFmtId="0" fontId="5" fillId="5" borderId="0" xfId="0" applyFont="1" applyFill="1" applyAlignment="1">
      <alignment horizontal="center" vertical="center"/>
    </xf>
    <xf numFmtId="0" fontId="0" fillId="5" borderId="0" xfId="0" applyFill="1" applyAlignment="1">
      <alignment horizontal="center" vertical="center"/>
    </xf>
    <xf numFmtId="0" fontId="5" fillId="5" borderId="52" xfId="0" applyFont="1" applyFill="1" applyBorder="1" applyAlignment="1">
      <alignment horizontal="center" vertical="center"/>
    </xf>
    <xf numFmtId="0" fontId="5" fillId="5" borderId="39" xfId="0" applyFont="1" applyFill="1" applyBorder="1" applyAlignment="1">
      <alignment horizontal="center" vertical="center"/>
    </xf>
    <xf numFmtId="0" fontId="5" fillId="5" borderId="53" xfId="0" applyFont="1" applyFill="1" applyBorder="1" applyAlignment="1">
      <alignment horizontal="center" vertical="center"/>
    </xf>
    <xf numFmtId="0" fontId="5" fillId="5" borderId="61" xfId="0" applyFont="1" applyFill="1" applyBorder="1" applyAlignment="1">
      <alignment horizontal="center" vertical="center"/>
    </xf>
    <xf numFmtId="0" fontId="5" fillId="5" borderId="62" xfId="0" applyFont="1" applyFill="1" applyBorder="1" applyAlignment="1">
      <alignment horizontal="center" vertical="center"/>
    </xf>
    <xf numFmtId="0" fontId="9" fillId="2" borderId="18" xfId="17" applyFont="1" applyBorder="1">
      <alignment/>
    </xf>
    <xf numFmtId="0" fontId="5" fillId="2" borderId="18" xfId="0" applyFont="1" applyFill="1" applyBorder="1" applyAlignment="1">
      <alignment/>
    </xf>
  </cellXfs>
  <cellStyles count="11">
    <cellStyle name="Normal" xfId="0"/>
    <cellStyle name="Comma" xfId="15"/>
    <cellStyle name="Comma [0]" xfId="16"/>
    <cellStyle name="comment" xfId="17"/>
    <cellStyle name="Currency" xfId="18"/>
    <cellStyle name="Currency [0]" xfId="19"/>
    <cellStyle name="Followed Hyperlink" xfId="20"/>
    <cellStyle name="Hyperlink" xfId="21"/>
    <cellStyle name="LCD" xfId="22"/>
    <cellStyle name="Lists" xfId="23"/>
    <cellStyle name="Percent" xfId="24"/>
  </cellStyles>
  <dxfs count="11">
    <dxf>
      <font>
        <color rgb="FF000000"/>
      </font>
      <fill>
        <patternFill>
          <bgColor rgb="FFFFFF99"/>
        </patternFill>
      </fill>
      <border/>
    </dxf>
    <dxf>
      <font>
        <b/>
        <i/>
        <color rgb="FFFFFFFF"/>
      </font>
      <fill>
        <patternFill>
          <bgColor rgb="FFFF0000"/>
        </patternFill>
      </fill>
      <border/>
    </dxf>
    <dxf>
      <font>
        <color auto="1"/>
      </font>
      <fill>
        <patternFill>
          <bgColor rgb="FFFFFF99"/>
        </patternFill>
      </fill>
      <border/>
    </dxf>
    <dxf>
      <font>
        <color rgb="FF000000"/>
      </font>
      <fill>
        <patternFill>
          <bgColor rgb="FFFF0000"/>
        </patternFill>
      </fill>
      <border/>
    </dxf>
    <dxf>
      <font>
        <color rgb="FFFFFFFF"/>
      </font>
      <fill>
        <patternFill>
          <bgColor rgb="FFFF0000"/>
        </patternFill>
      </fill>
      <border/>
    </dxf>
    <dxf>
      <font>
        <color rgb="FF000000"/>
      </font>
      <fill>
        <patternFill patternType="none">
          <bgColor indexed="65"/>
        </patternFill>
      </fill>
      <border/>
    </dxf>
    <dxf>
      <font>
        <color rgb="FF000000"/>
      </font>
      <border/>
    </dxf>
    <dxf>
      <font>
        <color rgb="FFC0C0C0"/>
      </font>
      <fill>
        <patternFill patternType="none">
          <bgColor indexed="65"/>
        </patternFill>
      </fill>
      <border/>
    </dxf>
    <dxf>
      <font>
        <b/>
        <i val="0"/>
        <color rgb="FFC0C0C0"/>
      </font>
      <fill>
        <patternFill patternType="none">
          <bgColor indexed="65"/>
        </patternFill>
      </fill>
      <border/>
    </dxf>
    <dxf>
      <border>
        <left>
          <color rgb="FF000000"/>
        </left>
        <right>
          <color rgb="FF000000"/>
        </right>
        <top>
          <color rgb="FF000000"/>
        </top>
        <bottom>
          <color rgb="FF000000"/>
        </bottom>
      </border>
    </dxf>
    <dxf>
      <font>
        <color auto="1"/>
      </font>
      <fill>
        <patternFill>
          <bgColor rgb="FFFFFF99"/>
        </patternFill>
      </fill>
      <border>
        <left style="thin">
          <color rgb="FF0000FF"/>
        </left>
        <right style="thin">
          <color rgb="FF0000FF"/>
        </right>
        <top style="thin"/>
        <bottom style="thin">
          <color rgb="FF00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0</xdr:row>
      <xdr:rowOff>0</xdr:rowOff>
    </xdr:from>
    <xdr:to>
      <xdr:col>3</xdr:col>
      <xdr:colOff>342900</xdr:colOff>
      <xdr:row>0</xdr:row>
      <xdr:rowOff>0</xdr:rowOff>
    </xdr:to>
    <xdr:sp>
      <xdr:nvSpPr>
        <xdr:cNvPr id="1" name="AutoShape 2"/>
        <xdr:cNvSpPr>
          <a:spLocks/>
        </xdr:cNvSpPr>
      </xdr:nvSpPr>
      <xdr:spPr>
        <a:xfrm>
          <a:off x="2057400" y="0"/>
          <a:ext cx="95250" cy="0"/>
        </a:xfrm>
        <a:prstGeom prst="rightBracket">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0</xdr:row>
      <xdr:rowOff>0</xdr:rowOff>
    </xdr:from>
    <xdr:to>
      <xdr:col>4</xdr:col>
      <xdr:colOff>533400</xdr:colOff>
      <xdr:row>0</xdr:row>
      <xdr:rowOff>0</xdr:rowOff>
    </xdr:to>
    <xdr:sp>
      <xdr:nvSpPr>
        <xdr:cNvPr id="2" name="AutoShape 38"/>
        <xdr:cNvSpPr>
          <a:spLocks/>
        </xdr:cNvSpPr>
      </xdr:nvSpPr>
      <xdr:spPr>
        <a:xfrm>
          <a:off x="3028950" y="0"/>
          <a:ext cx="95250" cy="0"/>
        </a:xfrm>
        <a:prstGeom prst="rightBracket">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5</xdr:col>
      <xdr:colOff>0</xdr:colOff>
      <xdr:row>0</xdr:row>
      <xdr:rowOff>0</xdr:rowOff>
    </xdr:to>
    <xdr:sp>
      <xdr:nvSpPr>
        <xdr:cNvPr id="3" name="Line 39"/>
        <xdr:cNvSpPr>
          <a:spLocks/>
        </xdr:cNvSpPr>
      </xdr:nvSpPr>
      <xdr:spPr>
        <a:xfrm flipH="1">
          <a:off x="3124200" y="0"/>
          <a:ext cx="247650" cy="0"/>
        </a:xfrm>
        <a:prstGeom prst="line">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0</xdr:row>
      <xdr:rowOff>0</xdr:rowOff>
    </xdr:from>
    <xdr:to>
      <xdr:col>4</xdr:col>
      <xdr:colOff>333375</xdr:colOff>
      <xdr:row>0</xdr:row>
      <xdr:rowOff>0</xdr:rowOff>
    </xdr:to>
    <xdr:sp>
      <xdr:nvSpPr>
        <xdr:cNvPr id="4" name="Line 40"/>
        <xdr:cNvSpPr>
          <a:spLocks/>
        </xdr:cNvSpPr>
      </xdr:nvSpPr>
      <xdr:spPr>
        <a:xfrm flipV="1">
          <a:off x="2924175" y="0"/>
          <a:ext cx="0" cy="0"/>
        </a:xfrm>
        <a:prstGeom prst="line">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0</xdr:row>
      <xdr:rowOff>0</xdr:rowOff>
    </xdr:from>
    <xdr:to>
      <xdr:col>6</xdr:col>
      <xdr:colOff>361950</xdr:colOff>
      <xdr:row>0</xdr:row>
      <xdr:rowOff>0</xdr:rowOff>
    </xdr:to>
    <xdr:sp>
      <xdr:nvSpPr>
        <xdr:cNvPr id="5" name="Line 41"/>
        <xdr:cNvSpPr>
          <a:spLocks/>
        </xdr:cNvSpPr>
      </xdr:nvSpPr>
      <xdr:spPr>
        <a:xfrm flipV="1">
          <a:off x="4514850" y="0"/>
          <a:ext cx="0" cy="0"/>
        </a:xfrm>
        <a:prstGeom prst="line">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0</xdr:row>
      <xdr:rowOff>0</xdr:rowOff>
    </xdr:from>
    <xdr:to>
      <xdr:col>9</xdr:col>
      <xdr:colOff>371475</xdr:colOff>
      <xdr:row>0</xdr:row>
      <xdr:rowOff>0</xdr:rowOff>
    </xdr:to>
    <xdr:sp>
      <xdr:nvSpPr>
        <xdr:cNvPr id="6" name="Line 42"/>
        <xdr:cNvSpPr>
          <a:spLocks/>
        </xdr:cNvSpPr>
      </xdr:nvSpPr>
      <xdr:spPr>
        <a:xfrm flipV="1">
          <a:off x="6867525" y="0"/>
          <a:ext cx="0" cy="0"/>
        </a:xfrm>
        <a:prstGeom prst="line">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0</xdr:row>
      <xdr:rowOff>0</xdr:rowOff>
    </xdr:from>
    <xdr:to>
      <xdr:col>4</xdr:col>
      <xdr:colOff>571500</xdr:colOff>
      <xdr:row>0</xdr:row>
      <xdr:rowOff>0</xdr:rowOff>
    </xdr:to>
    <xdr:sp>
      <xdr:nvSpPr>
        <xdr:cNvPr id="7" name="Rectangle 43"/>
        <xdr:cNvSpPr>
          <a:spLocks/>
        </xdr:cNvSpPr>
      </xdr:nvSpPr>
      <xdr:spPr>
        <a:xfrm>
          <a:off x="3086100" y="0"/>
          <a:ext cx="762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0</xdr:row>
      <xdr:rowOff>0</xdr:rowOff>
    </xdr:from>
    <xdr:to>
      <xdr:col>5</xdr:col>
      <xdr:colOff>0</xdr:colOff>
      <xdr:row>0</xdr:row>
      <xdr:rowOff>0</xdr:rowOff>
    </xdr:to>
    <xdr:sp>
      <xdr:nvSpPr>
        <xdr:cNvPr id="8" name="Line 44"/>
        <xdr:cNvSpPr>
          <a:spLocks/>
        </xdr:cNvSpPr>
      </xdr:nvSpPr>
      <xdr:spPr>
        <a:xfrm flipH="1">
          <a:off x="2152650" y="0"/>
          <a:ext cx="1219200" cy="0"/>
        </a:xfrm>
        <a:prstGeom prst="line">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676275</xdr:colOff>
      <xdr:row>0</xdr:row>
      <xdr:rowOff>0</xdr:rowOff>
    </xdr:from>
    <xdr:to>
      <xdr:col>8</xdr:col>
      <xdr:colOff>600075</xdr:colOff>
      <xdr:row>0</xdr:row>
      <xdr:rowOff>0</xdr:rowOff>
    </xdr:to>
    <xdr:grpSp>
      <xdr:nvGrpSpPr>
        <xdr:cNvPr id="9" name="Group 45"/>
        <xdr:cNvGrpSpPr>
          <a:grpSpLocks/>
        </xdr:cNvGrpSpPr>
      </xdr:nvGrpSpPr>
      <xdr:grpSpPr>
        <a:xfrm>
          <a:off x="5610225" y="0"/>
          <a:ext cx="704850" cy="0"/>
          <a:chOff x="573" y="5226"/>
          <a:chExt cx="74" cy="40"/>
        </a:xfrm>
        <a:solidFill>
          <a:srgbClr val="FFFFFF"/>
        </a:solidFill>
      </xdr:grpSpPr>
      <xdr:sp>
        <xdr:nvSpPr>
          <xdr:cNvPr id="10" name="AutoShape 46"/>
          <xdr:cNvSpPr>
            <a:spLocks/>
          </xdr:cNvSpPr>
        </xdr:nvSpPr>
        <xdr:spPr>
          <a:xfrm>
            <a:off x="573" y="5226"/>
            <a:ext cx="18" cy="4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47"/>
          <xdr:cNvSpPr>
            <a:spLocks/>
          </xdr:cNvSpPr>
        </xdr:nvSpPr>
        <xdr:spPr>
          <a:xfrm>
            <a:off x="591" y="5246"/>
            <a:ext cx="5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76200</xdr:colOff>
      <xdr:row>0</xdr:row>
      <xdr:rowOff>0</xdr:rowOff>
    </xdr:from>
    <xdr:to>
      <xdr:col>9</xdr:col>
      <xdr:colOff>152400</xdr:colOff>
      <xdr:row>0</xdr:row>
      <xdr:rowOff>0</xdr:rowOff>
    </xdr:to>
    <xdr:sp>
      <xdr:nvSpPr>
        <xdr:cNvPr id="12" name="AutoShape 48"/>
        <xdr:cNvSpPr>
          <a:spLocks/>
        </xdr:cNvSpPr>
      </xdr:nvSpPr>
      <xdr:spPr>
        <a:xfrm>
          <a:off x="6572250" y="0"/>
          <a:ext cx="76200" cy="0"/>
        </a:xfrm>
        <a:prstGeom prst="rightBracket">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0</xdr:row>
      <xdr:rowOff>0</xdr:rowOff>
    </xdr:from>
    <xdr:to>
      <xdr:col>10</xdr:col>
      <xdr:colOff>0</xdr:colOff>
      <xdr:row>0</xdr:row>
      <xdr:rowOff>0</xdr:rowOff>
    </xdr:to>
    <xdr:sp>
      <xdr:nvSpPr>
        <xdr:cNvPr id="13" name="Line 49"/>
        <xdr:cNvSpPr>
          <a:spLocks/>
        </xdr:cNvSpPr>
      </xdr:nvSpPr>
      <xdr:spPr>
        <a:xfrm flipH="1">
          <a:off x="6648450" y="0"/>
          <a:ext cx="628650" cy="0"/>
        </a:xfrm>
        <a:prstGeom prst="line">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0</xdr:row>
      <xdr:rowOff>0</xdr:rowOff>
    </xdr:from>
    <xdr:to>
      <xdr:col>7</xdr:col>
      <xdr:colOff>619125</xdr:colOff>
      <xdr:row>0</xdr:row>
      <xdr:rowOff>0</xdr:rowOff>
    </xdr:to>
    <xdr:sp>
      <xdr:nvSpPr>
        <xdr:cNvPr id="14" name="TextBox 50"/>
        <xdr:cNvSpPr txBox="1">
          <a:spLocks noChangeArrowheads="1"/>
        </xdr:cNvSpPr>
      </xdr:nvSpPr>
      <xdr:spPr>
        <a:xfrm>
          <a:off x="2924175" y="0"/>
          <a:ext cx="2628900" cy="0"/>
        </a:xfrm>
        <a:prstGeom prst="rect">
          <a:avLst/>
        </a:prstGeom>
        <a:solidFill>
          <a:srgbClr val="FF99CC"/>
        </a:solidFill>
        <a:ln w="9525" cmpd="sng">
          <a:solidFill>
            <a:srgbClr val="FF99CC"/>
          </a:solidFill>
          <a:headEnd type="none"/>
          <a:tailEnd type="none"/>
        </a:ln>
      </xdr:spPr>
      <xdr:txBody>
        <a:bodyPr vertOverflow="clip" wrap="square"/>
        <a:p>
          <a:pPr algn="l">
            <a:defRPr/>
          </a:pPr>
          <a:r>
            <a:rPr lang="en-US" cap="none" sz="1000" b="0" i="0" u="none" baseline="0">
              <a:latin typeface="Arial"/>
              <a:ea typeface="Arial"/>
              <a:cs typeface="Arial"/>
            </a:rPr>
            <a:t>Assign ch7 and ch8 to Vr-D for flaps.</a:t>
          </a:r>
        </a:p>
      </xdr:txBody>
    </xdr:sp>
    <xdr:clientData fLocksWithSheet="0"/>
  </xdr:twoCellAnchor>
  <xdr:twoCellAnchor>
    <xdr:from>
      <xdr:col>4</xdr:col>
      <xdr:colOff>409575</xdr:colOff>
      <xdr:row>0</xdr:row>
      <xdr:rowOff>0</xdr:rowOff>
    </xdr:from>
    <xdr:to>
      <xdr:col>7</xdr:col>
      <xdr:colOff>638175</xdr:colOff>
      <xdr:row>0</xdr:row>
      <xdr:rowOff>0</xdr:rowOff>
    </xdr:to>
    <xdr:sp>
      <xdr:nvSpPr>
        <xdr:cNvPr id="15" name="TextBox 51"/>
        <xdr:cNvSpPr txBox="1">
          <a:spLocks noChangeArrowheads="1"/>
        </xdr:cNvSpPr>
      </xdr:nvSpPr>
      <xdr:spPr>
        <a:xfrm>
          <a:off x="3000375" y="0"/>
          <a:ext cx="2571750" cy="0"/>
        </a:xfrm>
        <a:prstGeom prst="rect">
          <a:avLst/>
        </a:prstGeom>
        <a:solidFill>
          <a:srgbClr val="FF99CC"/>
        </a:solidFill>
        <a:ln w="9525" cmpd="sng">
          <a:solidFill>
            <a:srgbClr val="FF99CC"/>
          </a:solidFill>
          <a:headEnd type="none"/>
          <a:tailEnd type="none"/>
        </a:ln>
      </xdr:spPr>
      <xdr:txBody>
        <a:bodyPr vertOverflow="clip" wrap="square"/>
        <a:p>
          <a:pPr algn="l">
            <a:defRPr/>
          </a:pPr>
          <a:r>
            <a:rPr lang="en-US" cap="none" sz="1000" b="0" i="0" u="none" baseline="0">
              <a:latin typeface="Arial"/>
              <a:ea typeface="Arial"/>
              <a:cs typeface="Arial"/>
            </a:rPr>
            <a:t>Activated and initially set as shown.  Your rates may be different.</a:t>
          </a:r>
        </a:p>
      </xdr:txBody>
    </xdr:sp>
    <xdr:clientData fLocksWithSheet="0"/>
  </xdr:twoCellAnchor>
  <xdr:twoCellAnchor>
    <xdr:from>
      <xdr:col>9</xdr:col>
      <xdr:colOff>400050</xdr:colOff>
      <xdr:row>0</xdr:row>
      <xdr:rowOff>0</xdr:rowOff>
    </xdr:from>
    <xdr:to>
      <xdr:col>14</xdr:col>
      <xdr:colOff>533400</xdr:colOff>
      <xdr:row>0</xdr:row>
      <xdr:rowOff>0</xdr:rowOff>
    </xdr:to>
    <xdr:sp>
      <xdr:nvSpPr>
        <xdr:cNvPr id="16" name="TextBox 54"/>
        <xdr:cNvSpPr txBox="1">
          <a:spLocks noChangeArrowheads="1"/>
        </xdr:cNvSpPr>
      </xdr:nvSpPr>
      <xdr:spPr>
        <a:xfrm>
          <a:off x="6896100" y="0"/>
          <a:ext cx="3695700" cy="0"/>
        </a:xfrm>
        <a:prstGeom prst="rect">
          <a:avLst/>
        </a:prstGeom>
        <a:solidFill>
          <a:srgbClr val="FF99CC"/>
        </a:solidFill>
        <a:ln w="9525" cmpd="sng">
          <a:solidFill>
            <a:srgbClr val="FF99CC"/>
          </a:solidFill>
          <a:headEnd type="none"/>
          <a:tailEnd type="none"/>
        </a:ln>
      </xdr:spPr>
      <xdr:txBody>
        <a:bodyPr vertOverflow="clip" wrap="square"/>
        <a:p>
          <a:pPr algn="l">
            <a:defRPr/>
          </a:pPr>
          <a:r>
            <a:rPr lang="en-US" cap="none" sz="1000" b="0" i="0" u="none" baseline="0">
              <a:latin typeface="Arial"/>
              <a:ea typeface="Arial"/>
              <a:cs typeface="Arial"/>
            </a:rPr>
            <a:t>Mix 3 and mix 4 enable full-width ailerons when Sw C is centered.  Your rates and offsets may be different.</a:t>
          </a:r>
        </a:p>
      </xdr:txBody>
    </xdr:sp>
    <xdr:clientData fLocksWithSheet="0"/>
  </xdr:twoCellAnchor>
  <xdr:twoCellAnchor>
    <xdr:from>
      <xdr:col>9</xdr:col>
      <xdr:colOff>400050</xdr:colOff>
      <xdr:row>0</xdr:row>
      <xdr:rowOff>0</xdr:rowOff>
    </xdr:from>
    <xdr:to>
      <xdr:col>13</xdr:col>
      <xdr:colOff>304800</xdr:colOff>
      <xdr:row>0</xdr:row>
      <xdr:rowOff>0</xdr:rowOff>
    </xdr:to>
    <xdr:sp>
      <xdr:nvSpPr>
        <xdr:cNvPr id="17" name="TextBox 55"/>
        <xdr:cNvSpPr txBox="1">
          <a:spLocks noChangeArrowheads="1"/>
        </xdr:cNvSpPr>
      </xdr:nvSpPr>
      <xdr:spPr>
        <a:xfrm>
          <a:off x="6896100" y="0"/>
          <a:ext cx="2857500" cy="0"/>
        </a:xfrm>
        <a:prstGeom prst="rect">
          <a:avLst/>
        </a:prstGeom>
        <a:solidFill>
          <a:srgbClr val="FF99CC"/>
        </a:solidFill>
        <a:ln w="9525" cmpd="sng">
          <a:solidFill>
            <a:srgbClr val="FF99CC"/>
          </a:solidFill>
          <a:headEnd type="none"/>
          <a:tailEnd type="none"/>
        </a:ln>
      </xdr:spPr>
      <xdr:txBody>
        <a:bodyPr vertOverflow="clip" wrap="square"/>
        <a:p>
          <a:pPr algn="l">
            <a:defRPr/>
          </a:pPr>
          <a:r>
            <a:rPr lang="en-US" cap="none" sz="1000" b="0" i="0" u="none" baseline="0">
              <a:latin typeface="Arial"/>
              <a:ea typeface="Arial"/>
              <a:cs typeface="Arial"/>
            </a:rPr>
            <a:t>Mix 1 and mix 2 enable crow when Sw C is down.</a:t>
          </a:r>
        </a:p>
      </xdr:txBody>
    </xdr:sp>
    <xdr:clientData fLocksWithSheet="0"/>
  </xdr:twoCellAnchor>
  <xdr:twoCellAnchor editAs="oneCell">
    <xdr:from>
      <xdr:col>10</xdr:col>
      <xdr:colOff>685800</xdr:colOff>
      <xdr:row>4</xdr:row>
      <xdr:rowOff>66675</xdr:rowOff>
    </xdr:from>
    <xdr:to>
      <xdr:col>16</xdr:col>
      <xdr:colOff>361950</xdr:colOff>
      <xdr:row>8</xdr:row>
      <xdr:rowOff>133350</xdr:rowOff>
    </xdr:to>
    <xdr:pic>
      <xdr:nvPicPr>
        <xdr:cNvPr id="18" name="Picture 105"/>
        <xdr:cNvPicPr preferRelativeResize="1">
          <a:picLocks noChangeAspect="1"/>
        </xdr:cNvPicPr>
      </xdr:nvPicPr>
      <xdr:blipFill>
        <a:blip r:embed="rId1"/>
        <a:stretch>
          <a:fillRect/>
        </a:stretch>
      </xdr:blipFill>
      <xdr:spPr>
        <a:xfrm>
          <a:off x="7962900" y="1076325"/>
          <a:ext cx="3676650" cy="1371600"/>
        </a:xfrm>
        <a:prstGeom prst="rect">
          <a:avLst/>
        </a:prstGeom>
        <a:noFill/>
        <a:ln w="9525" cmpd="sng">
          <a:noFill/>
        </a:ln>
      </xdr:spPr>
    </xdr:pic>
    <xdr:clientData/>
  </xdr:twoCellAnchor>
  <xdr:twoCellAnchor>
    <xdr:from>
      <xdr:col>3</xdr:col>
      <xdr:colOff>247650</xdr:colOff>
      <xdr:row>88</xdr:row>
      <xdr:rowOff>47625</xdr:rowOff>
    </xdr:from>
    <xdr:to>
      <xdr:col>3</xdr:col>
      <xdr:colOff>342900</xdr:colOff>
      <xdr:row>92</xdr:row>
      <xdr:rowOff>0</xdr:rowOff>
    </xdr:to>
    <xdr:sp>
      <xdr:nvSpPr>
        <xdr:cNvPr id="19" name="AutoShape 106"/>
        <xdr:cNvSpPr>
          <a:spLocks/>
        </xdr:cNvSpPr>
      </xdr:nvSpPr>
      <xdr:spPr>
        <a:xfrm>
          <a:off x="2057400" y="17049750"/>
          <a:ext cx="95250" cy="657225"/>
        </a:xfrm>
        <a:prstGeom prst="rightBracket">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13</xdr:row>
      <xdr:rowOff>76200</xdr:rowOff>
    </xdr:from>
    <xdr:to>
      <xdr:col>10</xdr:col>
      <xdr:colOff>752475</xdr:colOff>
      <xdr:row>27</xdr:row>
      <xdr:rowOff>123825</xdr:rowOff>
    </xdr:to>
    <xdr:grpSp>
      <xdr:nvGrpSpPr>
        <xdr:cNvPr id="20" name="Group 107"/>
        <xdr:cNvGrpSpPr>
          <a:grpSpLocks/>
        </xdr:cNvGrpSpPr>
      </xdr:nvGrpSpPr>
      <xdr:grpSpPr>
        <a:xfrm>
          <a:off x="1838325" y="3381375"/>
          <a:ext cx="6191250" cy="3076575"/>
          <a:chOff x="167" y="283"/>
          <a:chExt cx="650" cy="323"/>
        </a:xfrm>
        <a:solidFill>
          <a:srgbClr val="FFFFFF"/>
        </a:solidFill>
      </xdr:grpSpPr>
      <xdr:pic>
        <xdr:nvPicPr>
          <xdr:cNvPr id="21" name="Picture 108"/>
          <xdr:cNvPicPr preferRelativeResize="1">
            <a:picLocks noChangeAspect="1"/>
          </xdr:cNvPicPr>
        </xdr:nvPicPr>
        <xdr:blipFill>
          <a:blip r:embed="rId2"/>
          <a:stretch>
            <a:fillRect/>
          </a:stretch>
        </xdr:blipFill>
        <xdr:spPr>
          <a:xfrm>
            <a:off x="270" y="283"/>
            <a:ext cx="438" cy="245"/>
          </a:xfrm>
          <a:prstGeom prst="rect">
            <a:avLst/>
          </a:prstGeom>
          <a:noFill/>
          <a:ln w="9525" cmpd="sng">
            <a:noFill/>
          </a:ln>
        </xdr:spPr>
      </xdr:pic>
      <xdr:sp>
        <xdr:nvSpPr>
          <xdr:cNvPr id="22" name="TextBox 109"/>
          <xdr:cNvSpPr txBox="1">
            <a:spLocks noChangeArrowheads="1"/>
          </xdr:cNvSpPr>
        </xdr:nvSpPr>
        <xdr:spPr>
          <a:xfrm>
            <a:off x="167" y="322"/>
            <a:ext cx="24" cy="33"/>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F</a:t>
            </a:r>
          </a:p>
        </xdr:txBody>
      </xdr:sp>
      <xdr:sp>
        <xdr:nvSpPr>
          <xdr:cNvPr id="23" name="TextBox 110"/>
          <xdr:cNvSpPr txBox="1">
            <a:spLocks noChangeArrowheads="1"/>
          </xdr:cNvSpPr>
        </xdr:nvSpPr>
        <xdr:spPr>
          <a:xfrm>
            <a:off x="167" y="381"/>
            <a:ext cx="24" cy="33"/>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E</a:t>
            </a:r>
          </a:p>
        </xdr:txBody>
      </xdr:sp>
      <xdr:sp>
        <xdr:nvSpPr>
          <xdr:cNvPr id="24" name="TextBox 111"/>
          <xdr:cNvSpPr txBox="1">
            <a:spLocks noChangeArrowheads="1"/>
          </xdr:cNvSpPr>
        </xdr:nvSpPr>
        <xdr:spPr>
          <a:xfrm>
            <a:off x="167" y="491"/>
            <a:ext cx="24" cy="33"/>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A</a:t>
            </a:r>
          </a:p>
        </xdr:txBody>
      </xdr:sp>
      <xdr:sp>
        <xdr:nvSpPr>
          <xdr:cNvPr id="25" name="TextBox 112"/>
          <xdr:cNvSpPr txBox="1">
            <a:spLocks noChangeArrowheads="1"/>
          </xdr:cNvSpPr>
        </xdr:nvSpPr>
        <xdr:spPr>
          <a:xfrm>
            <a:off x="167" y="557"/>
            <a:ext cx="24" cy="33"/>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B</a:t>
            </a:r>
          </a:p>
        </xdr:txBody>
      </xdr:sp>
      <xdr:sp>
        <xdr:nvSpPr>
          <xdr:cNvPr id="26" name="TextBox 113"/>
          <xdr:cNvSpPr txBox="1">
            <a:spLocks noChangeArrowheads="1"/>
          </xdr:cNvSpPr>
        </xdr:nvSpPr>
        <xdr:spPr>
          <a:xfrm>
            <a:off x="167" y="435"/>
            <a:ext cx="64" cy="32"/>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VR(D)</a:t>
            </a:r>
          </a:p>
        </xdr:txBody>
      </xdr:sp>
      <xdr:sp>
        <xdr:nvSpPr>
          <xdr:cNvPr id="27" name="TextBox 114"/>
          <xdr:cNvSpPr txBox="1">
            <a:spLocks noChangeArrowheads="1"/>
          </xdr:cNvSpPr>
        </xdr:nvSpPr>
        <xdr:spPr>
          <a:xfrm>
            <a:off x="782" y="286"/>
            <a:ext cx="35" cy="33"/>
          </a:xfrm>
          <a:prstGeom prst="rect">
            <a:avLst/>
          </a:prstGeom>
          <a:noFill/>
          <a:ln w="9525" cmpd="sng">
            <a:noFill/>
          </a:ln>
        </xdr:spPr>
        <xdr:txBody>
          <a:bodyPr vertOverflow="clip" wrap="square"/>
          <a:p>
            <a:pPr algn="r">
              <a:defRPr/>
            </a:pPr>
            <a:r>
              <a:rPr lang="en-US" cap="none" sz="1400" b="1" i="0" u="none" baseline="0">
                <a:latin typeface="Arial"/>
                <a:ea typeface="Arial"/>
                <a:cs typeface="Arial"/>
              </a:rPr>
              <a:t>H</a:t>
            </a:r>
          </a:p>
        </xdr:txBody>
      </xdr:sp>
      <xdr:sp>
        <xdr:nvSpPr>
          <xdr:cNvPr id="28" name="TextBox 115"/>
          <xdr:cNvSpPr txBox="1">
            <a:spLocks noChangeArrowheads="1"/>
          </xdr:cNvSpPr>
        </xdr:nvSpPr>
        <xdr:spPr>
          <a:xfrm>
            <a:off x="786" y="491"/>
            <a:ext cx="31" cy="38"/>
          </a:xfrm>
          <a:prstGeom prst="rect">
            <a:avLst/>
          </a:prstGeom>
          <a:noFill/>
          <a:ln w="9525" cmpd="sng">
            <a:noFill/>
          </a:ln>
        </xdr:spPr>
        <xdr:txBody>
          <a:bodyPr vertOverflow="clip" wrap="square"/>
          <a:p>
            <a:pPr algn="r">
              <a:defRPr/>
            </a:pPr>
            <a:r>
              <a:rPr lang="en-US" cap="none" sz="1400" b="1" i="0" u="none" baseline="0">
                <a:latin typeface="Arial"/>
                <a:ea typeface="Arial"/>
                <a:cs typeface="Arial"/>
              </a:rPr>
              <a:t>D</a:t>
            </a:r>
          </a:p>
        </xdr:txBody>
      </xdr:sp>
      <xdr:sp>
        <xdr:nvSpPr>
          <xdr:cNvPr id="29" name="TextBox 116"/>
          <xdr:cNvSpPr txBox="1">
            <a:spLocks noChangeArrowheads="1"/>
          </xdr:cNvSpPr>
        </xdr:nvSpPr>
        <xdr:spPr>
          <a:xfrm>
            <a:off x="782" y="568"/>
            <a:ext cx="35" cy="38"/>
          </a:xfrm>
          <a:prstGeom prst="rect">
            <a:avLst/>
          </a:prstGeom>
          <a:noFill/>
          <a:ln w="9525" cmpd="sng">
            <a:noFill/>
          </a:ln>
        </xdr:spPr>
        <xdr:txBody>
          <a:bodyPr vertOverflow="clip" wrap="square"/>
          <a:p>
            <a:pPr algn="r">
              <a:defRPr/>
            </a:pPr>
            <a:r>
              <a:rPr lang="en-US" cap="none" sz="1400" b="1" i="0" u="none" baseline="0">
                <a:latin typeface="Arial"/>
                <a:ea typeface="Arial"/>
                <a:cs typeface="Arial"/>
              </a:rPr>
              <a:t>C</a:t>
            </a:r>
          </a:p>
        </xdr:txBody>
      </xdr:sp>
      <xdr:sp>
        <xdr:nvSpPr>
          <xdr:cNvPr id="30" name="TextBox 117"/>
          <xdr:cNvSpPr txBox="1">
            <a:spLocks noChangeArrowheads="1"/>
          </xdr:cNvSpPr>
        </xdr:nvSpPr>
        <xdr:spPr>
          <a:xfrm>
            <a:off x="750" y="435"/>
            <a:ext cx="67" cy="32"/>
          </a:xfrm>
          <a:prstGeom prst="rect">
            <a:avLst/>
          </a:prstGeom>
          <a:noFill/>
          <a:ln w="9525" cmpd="sng">
            <a:noFill/>
          </a:ln>
        </xdr:spPr>
        <xdr:txBody>
          <a:bodyPr vertOverflow="clip" wrap="square"/>
          <a:p>
            <a:pPr algn="r">
              <a:defRPr/>
            </a:pPr>
            <a:r>
              <a:rPr lang="en-US" cap="none" sz="1400" b="1" i="0" u="none" baseline="0">
                <a:latin typeface="Arial"/>
                <a:ea typeface="Arial"/>
                <a:cs typeface="Arial"/>
              </a:rPr>
              <a:t>VR(E)</a:t>
            </a:r>
          </a:p>
        </xdr:txBody>
      </xdr:sp>
      <xdr:sp>
        <xdr:nvSpPr>
          <xdr:cNvPr id="31" name="TextBox 118"/>
          <xdr:cNvSpPr txBox="1">
            <a:spLocks noChangeArrowheads="1"/>
          </xdr:cNvSpPr>
        </xdr:nvSpPr>
        <xdr:spPr>
          <a:xfrm>
            <a:off x="792" y="370"/>
            <a:ext cx="25" cy="38"/>
          </a:xfrm>
          <a:prstGeom prst="rect">
            <a:avLst/>
          </a:prstGeom>
          <a:noFill/>
          <a:ln w="9525" cmpd="sng">
            <a:noFill/>
          </a:ln>
        </xdr:spPr>
        <xdr:txBody>
          <a:bodyPr vertOverflow="clip" wrap="square"/>
          <a:p>
            <a:pPr algn="r">
              <a:defRPr/>
            </a:pPr>
            <a:r>
              <a:rPr lang="en-US" cap="none" sz="1400" b="1" i="0" u="none" baseline="0">
                <a:latin typeface="Arial"/>
                <a:ea typeface="Arial"/>
                <a:cs typeface="Arial"/>
              </a:rPr>
              <a:t>G</a:t>
            </a:r>
          </a:p>
        </xdr:txBody>
      </xdr:sp>
      <xdr:sp>
        <xdr:nvSpPr>
          <xdr:cNvPr id="32" name="TextBox 119"/>
          <xdr:cNvSpPr txBox="1">
            <a:spLocks noChangeArrowheads="1"/>
          </xdr:cNvSpPr>
        </xdr:nvSpPr>
        <xdr:spPr>
          <a:xfrm>
            <a:off x="248" y="566"/>
            <a:ext cx="76" cy="32"/>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VR(A)</a:t>
            </a:r>
          </a:p>
        </xdr:txBody>
      </xdr:sp>
      <xdr:sp>
        <xdr:nvSpPr>
          <xdr:cNvPr id="33" name="TextBox 120"/>
          <xdr:cNvSpPr txBox="1">
            <a:spLocks noChangeArrowheads="1"/>
          </xdr:cNvSpPr>
        </xdr:nvSpPr>
        <xdr:spPr>
          <a:xfrm>
            <a:off x="409" y="566"/>
            <a:ext cx="164" cy="32"/>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VR(B)</a:t>
            </a:r>
          </a:p>
        </xdr:txBody>
      </xdr:sp>
      <xdr:sp>
        <xdr:nvSpPr>
          <xdr:cNvPr id="34" name="TextBox 121"/>
          <xdr:cNvSpPr txBox="1">
            <a:spLocks noChangeArrowheads="1"/>
          </xdr:cNvSpPr>
        </xdr:nvSpPr>
        <xdr:spPr>
          <a:xfrm>
            <a:off x="655" y="566"/>
            <a:ext cx="83" cy="32"/>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VR(C)</a:t>
            </a:r>
          </a:p>
        </xdr:txBody>
      </xdr:sp>
      <xdr:sp>
        <xdr:nvSpPr>
          <xdr:cNvPr id="35" name="Line 122"/>
          <xdr:cNvSpPr>
            <a:spLocks/>
          </xdr:cNvSpPr>
        </xdr:nvSpPr>
        <xdr:spPr>
          <a:xfrm flipH="1" flipV="1">
            <a:off x="187" y="334"/>
            <a:ext cx="86"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123"/>
          <xdr:cNvSpPr>
            <a:spLocks/>
          </xdr:cNvSpPr>
        </xdr:nvSpPr>
        <xdr:spPr>
          <a:xfrm flipH="1" flipV="1">
            <a:off x="189" y="394"/>
            <a:ext cx="78"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124"/>
          <xdr:cNvSpPr>
            <a:spLocks/>
          </xdr:cNvSpPr>
        </xdr:nvSpPr>
        <xdr:spPr>
          <a:xfrm>
            <a:off x="227" y="448"/>
            <a:ext cx="3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125"/>
          <xdr:cNvSpPr>
            <a:spLocks/>
          </xdr:cNvSpPr>
        </xdr:nvSpPr>
        <xdr:spPr>
          <a:xfrm flipV="1">
            <a:off x="189" y="482"/>
            <a:ext cx="118" cy="20"/>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126"/>
          <xdr:cNvSpPr>
            <a:spLocks/>
          </xdr:cNvSpPr>
        </xdr:nvSpPr>
        <xdr:spPr>
          <a:xfrm flipV="1">
            <a:off x="190" y="482"/>
            <a:ext cx="118"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127"/>
          <xdr:cNvSpPr>
            <a:spLocks/>
          </xdr:cNvSpPr>
        </xdr:nvSpPr>
        <xdr:spPr>
          <a:xfrm flipV="1">
            <a:off x="193" y="496"/>
            <a:ext cx="144" cy="70"/>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128"/>
          <xdr:cNvSpPr>
            <a:spLocks/>
          </xdr:cNvSpPr>
        </xdr:nvSpPr>
        <xdr:spPr>
          <a:xfrm flipH="1">
            <a:off x="315" y="512"/>
            <a:ext cx="104" cy="58"/>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129"/>
          <xdr:cNvSpPr>
            <a:spLocks/>
          </xdr:cNvSpPr>
        </xdr:nvSpPr>
        <xdr:spPr>
          <a:xfrm>
            <a:off x="491" y="520"/>
            <a:ext cx="0" cy="50"/>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130"/>
          <xdr:cNvSpPr>
            <a:spLocks/>
          </xdr:cNvSpPr>
        </xdr:nvSpPr>
        <xdr:spPr>
          <a:xfrm>
            <a:off x="565" y="512"/>
            <a:ext cx="100" cy="58"/>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131"/>
          <xdr:cNvSpPr>
            <a:spLocks/>
          </xdr:cNvSpPr>
        </xdr:nvSpPr>
        <xdr:spPr>
          <a:xfrm>
            <a:off x="653" y="498"/>
            <a:ext cx="142" cy="78"/>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132"/>
          <xdr:cNvSpPr>
            <a:spLocks/>
          </xdr:cNvSpPr>
        </xdr:nvSpPr>
        <xdr:spPr>
          <a:xfrm>
            <a:off x="679" y="480"/>
            <a:ext cx="116" cy="22"/>
          </a:xfrm>
          <a:prstGeom prst="line">
            <a:avLst/>
          </a:prstGeom>
          <a:no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133"/>
          <xdr:cNvSpPr>
            <a:spLocks/>
          </xdr:cNvSpPr>
        </xdr:nvSpPr>
        <xdr:spPr>
          <a:xfrm flipH="1">
            <a:off x="711" y="448"/>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134"/>
          <xdr:cNvSpPr>
            <a:spLocks/>
          </xdr:cNvSpPr>
        </xdr:nvSpPr>
        <xdr:spPr>
          <a:xfrm flipH="1">
            <a:off x="709" y="384"/>
            <a:ext cx="84"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135"/>
          <xdr:cNvSpPr>
            <a:spLocks/>
          </xdr:cNvSpPr>
        </xdr:nvSpPr>
        <xdr:spPr>
          <a:xfrm flipH="1">
            <a:off x="707" y="300"/>
            <a:ext cx="88" cy="4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136"/>
          <xdr:cNvSpPr>
            <a:spLocks/>
          </xdr:cNvSpPr>
        </xdr:nvSpPr>
        <xdr:spPr>
          <a:xfrm flipV="1">
            <a:off x="193" y="496"/>
            <a:ext cx="144" cy="7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137"/>
          <xdr:cNvSpPr>
            <a:spLocks/>
          </xdr:cNvSpPr>
        </xdr:nvSpPr>
        <xdr:spPr>
          <a:xfrm flipH="1">
            <a:off x="315" y="512"/>
            <a:ext cx="104" cy="5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138"/>
          <xdr:cNvSpPr>
            <a:spLocks/>
          </xdr:cNvSpPr>
        </xdr:nvSpPr>
        <xdr:spPr>
          <a:xfrm>
            <a:off x="491" y="520"/>
            <a:ext cx="0" cy="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139"/>
          <xdr:cNvSpPr>
            <a:spLocks/>
          </xdr:cNvSpPr>
        </xdr:nvSpPr>
        <xdr:spPr>
          <a:xfrm>
            <a:off x="565" y="512"/>
            <a:ext cx="100" cy="5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140"/>
          <xdr:cNvSpPr>
            <a:spLocks/>
          </xdr:cNvSpPr>
        </xdr:nvSpPr>
        <xdr:spPr>
          <a:xfrm>
            <a:off x="653" y="498"/>
            <a:ext cx="142" cy="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141"/>
          <xdr:cNvSpPr>
            <a:spLocks/>
          </xdr:cNvSpPr>
        </xdr:nvSpPr>
        <xdr:spPr>
          <a:xfrm>
            <a:off x="679" y="480"/>
            <a:ext cx="116"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438150</xdr:colOff>
      <xdr:row>88</xdr:row>
      <xdr:rowOff>47625</xdr:rowOff>
    </xdr:from>
    <xdr:to>
      <xdr:col>4</xdr:col>
      <xdr:colOff>533400</xdr:colOff>
      <xdr:row>92</xdr:row>
      <xdr:rowOff>0</xdr:rowOff>
    </xdr:to>
    <xdr:sp>
      <xdr:nvSpPr>
        <xdr:cNvPr id="55" name="AutoShape 142"/>
        <xdr:cNvSpPr>
          <a:spLocks/>
        </xdr:cNvSpPr>
      </xdr:nvSpPr>
      <xdr:spPr>
        <a:xfrm>
          <a:off x="3028950" y="17049750"/>
          <a:ext cx="95250" cy="657225"/>
        </a:xfrm>
        <a:prstGeom prst="rightBracket">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91</xdr:row>
      <xdr:rowOff>66675</xdr:rowOff>
    </xdr:from>
    <xdr:to>
      <xdr:col>5</xdr:col>
      <xdr:colOff>0</xdr:colOff>
      <xdr:row>91</xdr:row>
      <xdr:rowOff>66675</xdr:rowOff>
    </xdr:to>
    <xdr:sp>
      <xdr:nvSpPr>
        <xdr:cNvPr id="56" name="Line 143"/>
        <xdr:cNvSpPr>
          <a:spLocks/>
        </xdr:cNvSpPr>
      </xdr:nvSpPr>
      <xdr:spPr>
        <a:xfrm flipH="1">
          <a:off x="3124200" y="17602200"/>
          <a:ext cx="247650" cy="0"/>
        </a:xfrm>
        <a:prstGeom prst="line">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51</xdr:row>
      <xdr:rowOff>9525</xdr:rowOff>
    </xdr:from>
    <xdr:to>
      <xdr:col>4</xdr:col>
      <xdr:colOff>333375</xdr:colOff>
      <xdr:row>52</xdr:row>
      <xdr:rowOff>0</xdr:rowOff>
    </xdr:to>
    <xdr:sp>
      <xdr:nvSpPr>
        <xdr:cNvPr id="57" name="Line 144"/>
        <xdr:cNvSpPr>
          <a:spLocks/>
        </xdr:cNvSpPr>
      </xdr:nvSpPr>
      <xdr:spPr>
        <a:xfrm flipV="1">
          <a:off x="2924175" y="10706100"/>
          <a:ext cx="0" cy="152400"/>
        </a:xfrm>
        <a:prstGeom prst="line">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51</xdr:row>
      <xdr:rowOff>9525</xdr:rowOff>
    </xdr:from>
    <xdr:to>
      <xdr:col>6</xdr:col>
      <xdr:colOff>361950</xdr:colOff>
      <xdr:row>52</xdr:row>
      <xdr:rowOff>0</xdr:rowOff>
    </xdr:to>
    <xdr:sp>
      <xdr:nvSpPr>
        <xdr:cNvPr id="58" name="Line 145"/>
        <xdr:cNvSpPr>
          <a:spLocks/>
        </xdr:cNvSpPr>
      </xdr:nvSpPr>
      <xdr:spPr>
        <a:xfrm flipV="1">
          <a:off x="4514850" y="10706100"/>
          <a:ext cx="0" cy="152400"/>
        </a:xfrm>
        <a:prstGeom prst="line">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51</xdr:row>
      <xdr:rowOff>9525</xdr:rowOff>
    </xdr:from>
    <xdr:to>
      <xdr:col>9</xdr:col>
      <xdr:colOff>371475</xdr:colOff>
      <xdr:row>52</xdr:row>
      <xdr:rowOff>0</xdr:rowOff>
    </xdr:to>
    <xdr:sp>
      <xdr:nvSpPr>
        <xdr:cNvPr id="59" name="Line 146"/>
        <xdr:cNvSpPr>
          <a:spLocks/>
        </xdr:cNvSpPr>
      </xdr:nvSpPr>
      <xdr:spPr>
        <a:xfrm flipV="1">
          <a:off x="6867525" y="10706100"/>
          <a:ext cx="0" cy="152400"/>
        </a:xfrm>
        <a:prstGeom prst="line">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88</xdr:row>
      <xdr:rowOff>123825</xdr:rowOff>
    </xdr:from>
    <xdr:to>
      <xdr:col>4</xdr:col>
      <xdr:colOff>571500</xdr:colOff>
      <xdr:row>89</xdr:row>
      <xdr:rowOff>9525</xdr:rowOff>
    </xdr:to>
    <xdr:sp>
      <xdr:nvSpPr>
        <xdr:cNvPr id="60" name="Rectangle 147"/>
        <xdr:cNvSpPr>
          <a:spLocks/>
        </xdr:cNvSpPr>
      </xdr:nvSpPr>
      <xdr:spPr>
        <a:xfrm>
          <a:off x="3086100" y="17125950"/>
          <a:ext cx="76200" cy="571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88</xdr:row>
      <xdr:rowOff>152400</xdr:rowOff>
    </xdr:from>
    <xdr:to>
      <xdr:col>5</xdr:col>
      <xdr:colOff>0</xdr:colOff>
      <xdr:row>88</xdr:row>
      <xdr:rowOff>152400</xdr:rowOff>
    </xdr:to>
    <xdr:sp>
      <xdr:nvSpPr>
        <xdr:cNvPr id="61" name="Line 148"/>
        <xdr:cNvSpPr>
          <a:spLocks/>
        </xdr:cNvSpPr>
      </xdr:nvSpPr>
      <xdr:spPr>
        <a:xfrm flipH="1">
          <a:off x="2152650" y="17154525"/>
          <a:ext cx="1219200" cy="0"/>
        </a:xfrm>
        <a:prstGeom prst="line">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676275</xdr:colOff>
      <xdr:row>278</xdr:row>
      <xdr:rowOff>0</xdr:rowOff>
    </xdr:from>
    <xdr:to>
      <xdr:col>8</xdr:col>
      <xdr:colOff>600075</xdr:colOff>
      <xdr:row>280</xdr:row>
      <xdr:rowOff>38100</xdr:rowOff>
    </xdr:to>
    <xdr:grpSp>
      <xdr:nvGrpSpPr>
        <xdr:cNvPr id="62" name="Group 149"/>
        <xdr:cNvGrpSpPr>
          <a:grpSpLocks/>
        </xdr:cNvGrpSpPr>
      </xdr:nvGrpSpPr>
      <xdr:grpSpPr>
        <a:xfrm>
          <a:off x="5610225" y="49844325"/>
          <a:ext cx="704850" cy="381000"/>
          <a:chOff x="573" y="5226"/>
          <a:chExt cx="74" cy="40"/>
        </a:xfrm>
        <a:solidFill>
          <a:srgbClr val="FFFFFF"/>
        </a:solidFill>
      </xdr:grpSpPr>
      <xdr:sp>
        <xdr:nvSpPr>
          <xdr:cNvPr id="63" name="AutoShape 150"/>
          <xdr:cNvSpPr>
            <a:spLocks/>
          </xdr:cNvSpPr>
        </xdr:nvSpPr>
        <xdr:spPr>
          <a:xfrm>
            <a:off x="573" y="5226"/>
            <a:ext cx="18" cy="4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151"/>
          <xdr:cNvSpPr>
            <a:spLocks/>
          </xdr:cNvSpPr>
        </xdr:nvSpPr>
        <xdr:spPr>
          <a:xfrm>
            <a:off x="591" y="5246"/>
            <a:ext cx="56"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76200</xdr:colOff>
      <xdr:row>153</xdr:row>
      <xdr:rowOff>0</xdr:rowOff>
    </xdr:from>
    <xdr:to>
      <xdr:col>9</xdr:col>
      <xdr:colOff>152400</xdr:colOff>
      <xdr:row>154</xdr:row>
      <xdr:rowOff>123825</xdr:rowOff>
    </xdr:to>
    <xdr:sp>
      <xdr:nvSpPr>
        <xdr:cNvPr id="65" name="AutoShape 152"/>
        <xdr:cNvSpPr>
          <a:spLocks/>
        </xdr:cNvSpPr>
      </xdr:nvSpPr>
      <xdr:spPr>
        <a:xfrm>
          <a:off x="6572250" y="28260675"/>
          <a:ext cx="76200" cy="304800"/>
        </a:xfrm>
        <a:prstGeom prst="rightBracket">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153</xdr:row>
      <xdr:rowOff>76200</xdr:rowOff>
    </xdr:from>
    <xdr:to>
      <xdr:col>10</xdr:col>
      <xdr:colOff>0</xdr:colOff>
      <xdr:row>153</xdr:row>
      <xdr:rowOff>76200</xdr:rowOff>
    </xdr:to>
    <xdr:sp>
      <xdr:nvSpPr>
        <xdr:cNvPr id="66" name="Line 153"/>
        <xdr:cNvSpPr>
          <a:spLocks/>
        </xdr:cNvSpPr>
      </xdr:nvSpPr>
      <xdr:spPr>
        <a:xfrm flipH="1">
          <a:off x="6648450" y="28336875"/>
          <a:ext cx="628650" cy="0"/>
        </a:xfrm>
        <a:prstGeom prst="line">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11</xdr:row>
      <xdr:rowOff>0</xdr:rowOff>
    </xdr:from>
    <xdr:to>
      <xdr:col>9</xdr:col>
      <xdr:colOff>457200</xdr:colOff>
      <xdr:row>13</xdr:row>
      <xdr:rowOff>38100</xdr:rowOff>
    </xdr:to>
    <xdr:sp>
      <xdr:nvSpPr>
        <xdr:cNvPr id="1" name="Polygon 1"/>
        <xdr:cNvSpPr>
          <a:spLocks/>
        </xdr:cNvSpPr>
      </xdr:nvSpPr>
      <xdr:spPr>
        <a:xfrm>
          <a:off x="419100" y="1828800"/>
          <a:ext cx="6934200" cy="361950"/>
        </a:xfrm>
        <a:custGeom>
          <a:pathLst>
            <a:path h="18" w="728">
              <a:moveTo>
                <a:pt x="728" y="0"/>
              </a:moveTo>
              <a:lnTo>
                <a:pt x="728" y="18"/>
              </a:lnTo>
              <a:lnTo>
                <a:pt x="0" y="18"/>
              </a:lnTo>
              <a:lnTo>
                <a:pt x="0" y="0"/>
              </a:lnTo>
            </a:path>
          </a:pathLst>
        </a:custGeom>
        <a:noFill/>
        <a:ln w="9525" cmpd="sng">
          <a:solidFill>
            <a:srgbClr val="969696"/>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1581150</xdr:colOff>
      <xdr:row>9</xdr:row>
      <xdr:rowOff>0</xdr:rowOff>
    </xdr:from>
    <xdr:to>
      <xdr:col>6</xdr:col>
      <xdr:colOff>1581150</xdr:colOff>
      <xdr:row>10</xdr:row>
      <xdr:rowOff>9525</xdr:rowOff>
    </xdr:to>
    <xdr:sp>
      <xdr:nvSpPr>
        <xdr:cNvPr id="2" name="Line 2"/>
        <xdr:cNvSpPr>
          <a:spLocks/>
        </xdr:cNvSpPr>
      </xdr:nvSpPr>
      <xdr:spPr>
        <a:xfrm>
          <a:off x="4876800" y="1495425"/>
          <a:ext cx="0" cy="171450"/>
        </a:xfrm>
        <a:prstGeom prst="line">
          <a:avLst/>
        </a:prstGeom>
        <a:noFill/>
        <a:ln w="9525"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9</xdr:row>
      <xdr:rowOff>76200</xdr:rowOff>
    </xdr:from>
    <xdr:to>
      <xdr:col>5</xdr:col>
      <xdr:colOff>933450</xdr:colOff>
      <xdr:row>9</xdr:row>
      <xdr:rowOff>76200</xdr:rowOff>
    </xdr:to>
    <xdr:sp>
      <xdr:nvSpPr>
        <xdr:cNvPr id="3" name="Line 3"/>
        <xdr:cNvSpPr>
          <a:spLocks/>
        </xdr:cNvSpPr>
      </xdr:nvSpPr>
      <xdr:spPr>
        <a:xfrm>
          <a:off x="2857500" y="1571625"/>
          <a:ext cx="361950" cy="0"/>
        </a:xfrm>
        <a:prstGeom prst="line">
          <a:avLst/>
        </a:prstGeom>
        <a:noFill/>
        <a:ln w="9525"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11</xdr:row>
      <xdr:rowOff>85725</xdr:rowOff>
    </xdr:from>
    <xdr:to>
      <xdr:col>4</xdr:col>
      <xdr:colOff>552450</xdr:colOff>
      <xdr:row>11</xdr:row>
      <xdr:rowOff>85725</xdr:rowOff>
    </xdr:to>
    <xdr:sp>
      <xdr:nvSpPr>
        <xdr:cNvPr id="4" name="Line 4"/>
        <xdr:cNvSpPr>
          <a:spLocks/>
        </xdr:cNvSpPr>
      </xdr:nvSpPr>
      <xdr:spPr>
        <a:xfrm flipH="1">
          <a:off x="1905000" y="1914525"/>
          <a:ext cx="361950" cy="0"/>
        </a:xfrm>
        <a:prstGeom prst="line">
          <a:avLst/>
        </a:prstGeom>
        <a:noFill/>
        <a:ln w="9525"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7</xdr:row>
      <xdr:rowOff>114300</xdr:rowOff>
    </xdr:from>
    <xdr:to>
      <xdr:col>9</xdr:col>
      <xdr:colOff>457200</xdr:colOff>
      <xdr:row>9</xdr:row>
      <xdr:rowOff>152400</xdr:rowOff>
    </xdr:to>
    <xdr:sp>
      <xdr:nvSpPr>
        <xdr:cNvPr id="5" name="Polygon 5"/>
        <xdr:cNvSpPr>
          <a:spLocks/>
        </xdr:cNvSpPr>
      </xdr:nvSpPr>
      <xdr:spPr>
        <a:xfrm flipV="1">
          <a:off x="419100" y="1285875"/>
          <a:ext cx="6934200" cy="361950"/>
        </a:xfrm>
        <a:custGeom>
          <a:pathLst>
            <a:path h="18" w="728">
              <a:moveTo>
                <a:pt x="728" y="0"/>
              </a:moveTo>
              <a:lnTo>
                <a:pt x="728" y="18"/>
              </a:lnTo>
              <a:lnTo>
                <a:pt x="0" y="18"/>
              </a:lnTo>
              <a:lnTo>
                <a:pt x="0" y="0"/>
              </a:lnTo>
            </a:path>
          </a:pathLst>
        </a:custGeom>
        <a:noFill/>
        <a:ln w="9525"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22</xdr:row>
      <xdr:rowOff>76200</xdr:rowOff>
    </xdr:from>
    <xdr:to>
      <xdr:col>4</xdr:col>
      <xdr:colOff>304800</xdr:colOff>
      <xdr:row>25</xdr:row>
      <xdr:rowOff>438150</xdr:rowOff>
    </xdr:to>
    <xdr:grpSp>
      <xdr:nvGrpSpPr>
        <xdr:cNvPr id="6" name="Group 6"/>
        <xdr:cNvGrpSpPr>
          <a:grpSpLocks/>
        </xdr:cNvGrpSpPr>
      </xdr:nvGrpSpPr>
      <xdr:grpSpPr>
        <a:xfrm>
          <a:off x="952500" y="3724275"/>
          <a:ext cx="1066800" cy="1800225"/>
          <a:chOff x="100" y="391"/>
          <a:chExt cx="112" cy="189"/>
        </a:xfrm>
        <a:solidFill>
          <a:srgbClr val="FFFFFF"/>
        </a:solidFill>
      </xdr:grpSpPr>
      <xdr:grpSp>
        <xdr:nvGrpSpPr>
          <xdr:cNvPr id="7" name="Group 7"/>
          <xdr:cNvGrpSpPr>
            <a:grpSpLocks/>
          </xdr:cNvGrpSpPr>
        </xdr:nvGrpSpPr>
        <xdr:grpSpPr>
          <a:xfrm>
            <a:off x="100" y="391"/>
            <a:ext cx="11" cy="23"/>
            <a:chOff x="734" y="3478"/>
            <a:chExt cx="10" cy="20"/>
          </a:xfrm>
          <a:solidFill>
            <a:srgbClr val="FFFFFF"/>
          </a:solidFill>
        </xdr:grpSpPr>
        <xdr:sp>
          <xdr:nvSpPr>
            <xdr:cNvPr id="8" name="Oval 8"/>
            <xdr:cNvSpPr>
              <a:spLocks/>
            </xdr:cNvSpPr>
          </xdr:nvSpPr>
          <xdr:spPr>
            <a:xfrm>
              <a:off x="734" y="3488"/>
              <a:ext cx="10" cy="1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9"/>
            <xdr:cNvSpPr>
              <a:spLocks/>
            </xdr:cNvSpPr>
          </xdr:nvSpPr>
          <xdr:spPr>
            <a:xfrm>
              <a:off x="734" y="3478"/>
              <a:ext cx="10" cy="16"/>
            </a:xfrm>
            <a:prstGeom prst="trapezoid">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 name="Group 10"/>
          <xdr:cNvGrpSpPr>
            <a:grpSpLocks/>
          </xdr:cNvGrpSpPr>
        </xdr:nvGrpSpPr>
        <xdr:grpSpPr>
          <a:xfrm>
            <a:off x="201" y="391"/>
            <a:ext cx="11" cy="23"/>
            <a:chOff x="734" y="3478"/>
            <a:chExt cx="10" cy="20"/>
          </a:xfrm>
          <a:solidFill>
            <a:srgbClr val="FFFFFF"/>
          </a:solidFill>
        </xdr:grpSpPr>
        <xdr:sp>
          <xdr:nvSpPr>
            <xdr:cNvPr id="11" name="Oval 11"/>
            <xdr:cNvSpPr>
              <a:spLocks/>
            </xdr:cNvSpPr>
          </xdr:nvSpPr>
          <xdr:spPr>
            <a:xfrm>
              <a:off x="734" y="3488"/>
              <a:ext cx="10" cy="1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AutoShape 12"/>
            <xdr:cNvSpPr>
              <a:spLocks/>
            </xdr:cNvSpPr>
          </xdr:nvSpPr>
          <xdr:spPr>
            <a:xfrm>
              <a:off x="734" y="3478"/>
              <a:ext cx="10" cy="16"/>
            </a:xfrm>
            <a:prstGeom prst="trapezoid">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3" name="Group 13"/>
          <xdr:cNvGrpSpPr>
            <a:grpSpLocks/>
          </xdr:cNvGrpSpPr>
        </xdr:nvGrpSpPr>
        <xdr:grpSpPr>
          <a:xfrm>
            <a:off x="201" y="443"/>
            <a:ext cx="11" cy="23"/>
            <a:chOff x="734" y="3478"/>
            <a:chExt cx="10" cy="20"/>
          </a:xfrm>
          <a:solidFill>
            <a:srgbClr val="FFFFFF"/>
          </a:solidFill>
        </xdr:grpSpPr>
        <xdr:sp>
          <xdr:nvSpPr>
            <xdr:cNvPr id="14" name="Oval 14"/>
            <xdr:cNvSpPr>
              <a:spLocks/>
            </xdr:cNvSpPr>
          </xdr:nvSpPr>
          <xdr:spPr>
            <a:xfrm>
              <a:off x="734" y="3488"/>
              <a:ext cx="10" cy="1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AutoShape 15"/>
            <xdr:cNvSpPr>
              <a:spLocks/>
            </xdr:cNvSpPr>
          </xdr:nvSpPr>
          <xdr:spPr>
            <a:xfrm>
              <a:off x="734" y="3478"/>
              <a:ext cx="10" cy="16"/>
            </a:xfrm>
            <a:prstGeom prst="trapezoid">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6" name="Group 16"/>
          <xdr:cNvGrpSpPr>
            <a:grpSpLocks/>
          </xdr:cNvGrpSpPr>
        </xdr:nvGrpSpPr>
        <xdr:grpSpPr>
          <a:xfrm>
            <a:off x="100" y="493"/>
            <a:ext cx="11" cy="24"/>
            <a:chOff x="734" y="3478"/>
            <a:chExt cx="10" cy="20"/>
          </a:xfrm>
          <a:solidFill>
            <a:srgbClr val="FFFFFF"/>
          </a:solidFill>
        </xdr:grpSpPr>
        <xdr:sp>
          <xdr:nvSpPr>
            <xdr:cNvPr id="17" name="Oval 17"/>
            <xdr:cNvSpPr>
              <a:spLocks/>
            </xdr:cNvSpPr>
          </xdr:nvSpPr>
          <xdr:spPr>
            <a:xfrm>
              <a:off x="734" y="3488"/>
              <a:ext cx="10" cy="1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AutoShape 18"/>
            <xdr:cNvSpPr>
              <a:spLocks/>
            </xdr:cNvSpPr>
          </xdr:nvSpPr>
          <xdr:spPr>
            <a:xfrm>
              <a:off x="734" y="3478"/>
              <a:ext cx="10" cy="16"/>
            </a:xfrm>
            <a:prstGeom prst="trapezoid">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9" name="Group 19"/>
          <xdr:cNvGrpSpPr>
            <a:grpSpLocks/>
          </xdr:cNvGrpSpPr>
        </xdr:nvGrpSpPr>
        <xdr:grpSpPr>
          <a:xfrm>
            <a:off x="201" y="505"/>
            <a:ext cx="11" cy="24"/>
            <a:chOff x="763" y="3488"/>
            <a:chExt cx="10" cy="21"/>
          </a:xfrm>
          <a:solidFill>
            <a:srgbClr val="FFFFFF"/>
          </a:solidFill>
        </xdr:grpSpPr>
        <xdr:sp>
          <xdr:nvSpPr>
            <xdr:cNvPr id="20" name="Oval 20"/>
            <xdr:cNvSpPr>
              <a:spLocks/>
            </xdr:cNvSpPr>
          </xdr:nvSpPr>
          <xdr:spPr>
            <a:xfrm>
              <a:off x="763" y="3488"/>
              <a:ext cx="10" cy="1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utoShape 21"/>
            <xdr:cNvSpPr>
              <a:spLocks/>
            </xdr:cNvSpPr>
          </xdr:nvSpPr>
          <xdr:spPr>
            <a:xfrm flipV="1">
              <a:off x="763" y="3493"/>
              <a:ext cx="10" cy="16"/>
            </a:xfrm>
            <a:prstGeom prst="trapezoid">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2" name="Group 22"/>
          <xdr:cNvGrpSpPr>
            <a:grpSpLocks/>
          </xdr:cNvGrpSpPr>
        </xdr:nvGrpSpPr>
        <xdr:grpSpPr>
          <a:xfrm>
            <a:off x="100" y="455"/>
            <a:ext cx="11" cy="25"/>
            <a:chOff x="763" y="3488"/>
            <a:chExt cx="10" cy="21"/>
          </a:xfrm>
          <a:solidFill>
            <a:srgbClr val="FFFFFF"/>
          </a:solidFill>
        </xdr:grpSpPr>
        <xdr:sp>
          <xdr:nvSpPr>
            <xdr:cNvPr id="23" name="Oval 23"/>
            <xdr:cNvSpPr>
              <a:spLocks/>
            </xdr:cNvSpPr>
          </xdr:nvSpPr>
          <xdr:spPr>
            <a:xfrm>
              <a:off x="763" y="3488"/>
              <a:ext cx="10" cy="1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utoShape 24"/>
            <xdr:cNvSpPr>
              <a:spLocks/>
            </xdr:cNvSpPr>
          </xdr:nvSpPr>
          <xdr:spPr>
            <a:xfrm flipV="1">
              <a:off x="763" y="3493"/>
              <a:ext cx="10" cy="16"/>
            </a:xfrm>
            <a:prstGeom prst="trapezoid">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5" name="Group 25"/>
          <xdr:cNvGrpSpPr>
            <a:grpSpLocks/>
          </xdr:cNvGrpSpPr>
        </xdr:nvGrpSpPr>
        <xdr:grpSpPr>
          <a:xfrm>
            <a:off x="201" y="555"/>
            <a:ext cx="11" cy="25"/>
            <a:chOff x="763" y="3488"/>
            <a:chExt cx="10" cy="21"/>
          </a:xfrm>
          <a:solidFill>
            <a:srgbClr val="FFFFFF"/>
          </a:solidFill>
        </xdr:grpSpPr>
        <xdr:sp>
          <xdr:nvSpPr>
            <xdr:cNvPr id="26" name="Oval 26"/>
            <xdr:cNvSpPr>
              <a:spLocks/>
            </xdr:cNvSpPr>
          </xdr:nvSpPr>
          <xdr:spPr>
            <a:xfrm>
              <a:off x="763" y="3488"/>
              <a:ext cx="10" cy="1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AutoShape 27"/>
            <xdr:cNvSpPr>
              <a:spLocks/>
            </xdr:cNvSpPr>
          </xdr:nvSpPr>
          <xdr:spPr>
            <a:xfrm flipV="1">
              <a:off x="763" y="3493"/>
              <a:ext cx="10" cy="16"/>
            </a:xfrm>
            <a:prstGeom prst="trapezoid">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8" name="Group 28"/>
          <xdr:cNvGrpSpPr>
            <a:grpSpLocks/>
          </xdr:cNvGrpSpPr>
        </xdr:nvGrpSpPr>
        <xdr:grpSpPr>
          <a:xfrm>
            <a:off x="100" y="555"/>
            <a:ext cx="11" cy="25"/>
            <a:chOff x="763" y="3488"/>
            <a:chExt cx="10" cy="21"/>
          </a:xfrm>
          <a:solidFill>
            <a:srgbClr val="FFFFFF"/>
          </a:solidFill>
        </xdr:grpSpPr>
        <xdr:sp>
          <xdr:nvSpPr>
            <xdr:cNvPr id="29" name="Oval 29"/>
            <xdr:cNvSpPr>
              <a:spLocks/>
            </xdr:cNvSpPr>
          </xdr:nvSpPr>
          <xdr:spPr>
            <a:xfrm>
              <a:off x="763" y="3488"/>
              <a:ext cx="10" cy="1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AutoShape 30"/>
            <xdr:cNvSpPr>
              <a:spLocks/>
            </xdr:cNvSpPr>
          </xdr:nvSpPr>
          <xdr:spPr>
            <a:xfrm flipV="1">
              <a:off x="763" y="3493"/>
              <a:ext cx="10" cy="16"/>
            </a:xfrm>
            <a:prstGeom prst="trapezoid">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7</xdr:col>
      <xdr:colOff>0</xdr:colOff>
      <xdr:row>21</xdr:row>
      <xdr:rowOff>76200</xdr:rowOff>
    </xdr:from>
    <xdr:to>
      <xdr:col>11</xdr:col>
      <xdr:colOff>85725</xdr:colOff>
      <xdr:row>25</xdr:row>
      <xdr:rowOff>76200</xdr:rowOff>
    </xdr:to>
    <xdr:grpSp>
      <xdr:nvGrpSpPr>
        <xdr:cNvPr id="31" name="Group 31"/>
        <xdr:cNvGrpSpPr>
          <a:grpSpLocks/>
        </xdr:cNvGrpSpPr>
      </xdr:nvGrpSpPr>
      <xdr:grpSpPr>
        <a:xfrm>
          <a:off x="5676900" y="3562350"/>
          <a:ext cx="2524125" cy="1600200"/>
          <a:chOff x="596" y="374"/>
          <a:chExt cx="265" cy="168"/>
        </a:xfrm>
        <a:solidFill>
          <a:srgbClr val="FFFFFF"/>
        </a:solidFill>
      </xdr:grpSpPr>
      <xdr:pic>
        <xdr:nvPicPr>
          <xdr:cNvPr id="32" name="Picture 32"/>
          <xdr:cNvPicPr preferRelativeResize="1">
            <a:picLocks noChangeAspect="1"/>
          </xdr:cNvPicPr>
        </xdr:nvPicPr>
        <xdr:blipFill>
          <a:blip r:embed="rId1"/>
          <a:stretch>
            <a:fillRect/>
          </a:stretch>
        </xdr:blipFill>
        <xdr:spPr>
          <a:xfrm>
            <a:off x="632" y="410"/>
            <a:ext cx="229" cy="132"/>
          </a:xfrm>
          <a:prstGeom prst="rect">
            <a:avLst/>
          </a:prstGeom>
          <a:noFill/>
          <a:ln w="1" cmpd="sng">
            <a:noFill/>
          </a:ln>
        </xdr:spPr>
      </xdr:pic>
      <xdr:sp>
        <xdr:nvSpPr>
          <xdr:cNvPr id="33" name="Polygon 33"/>
          <xdr:cNvSpPr>
            <a:spLocks/>
          </xdr:cNvSpPr>
        </xdr:nvSpPr>
        <xdr:spPr>
          <a:xfrm>
            <a:off x="596" y="374"/>
            <a:ext cx="225" cy="22"/>
          </a:xfrm>
          <a:custGeom>
            <a:pathLst>
              <a:path h="22" w="230">
                <a:moveTo>
                  <a:pt x="0" y="0"/>
                </a:moveTo>
                <a:lnTo>
                  <a:pt x="230" y="0"/>
                </a:lnTo>
                <a:lnTo>
                  <a:pt x="230" y="22"/>
                </a:lnTo>
              </a:path>
            </a:pathLst>
          </a:cu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AutoShape 34"/>
          <xdr:cNvSpPr>
            <a:spLocks/>
          </xdr:cNvSpPr>
        </xdr:nvSpPr>
        <xdr:spPr>
          <a:xfrm rot="16200000">
            <a:off x="793" y="393"/>
            <a:ext cx="56" cy="24"/>
          </a:xfrm>
          <a:prstGeom prst="rightBrace">
            <a:avLst/>
          </a:prstGeom>
          <a:noFill/>
          <a:ln w="190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odeling\Radio%20Control\futaba\9c\Futaba%209C%20programming%20record%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out"/>
      <sheetName val="How to"/>
      <sheetName val="Blank acro"/>
      <sheetName val="Crow programming"/>
      <sheetName val="Other info"/>
      <sheetName val="Lists"/>
    </sheetNames>
    <sheetDataSet>
      <sheetData sheetId="5">
        <row r="17">
          <cell r="C17" t="str">
            <v>01</v>
          </cell>
          <cell r="D17" t="str">
            <v>+140%</v>
          </cell>
          <cell r="E17" t="str">
            <v>+100%</v>
          </cell>
          <cell r="F17" t="str">
            <v>A</v>
          </cell>
          <cell r="H17" t="str">
            <v>(100%)</v>
          </cell>
          <cell r="I17" t="str">
            <v>+120</v>
          </cell>
          <cell r="J17" t="str">
            <v>   NOR</v>
          </cell>
          <cell r="N17" t="str">
            <v>UP</v>
          </cell>
          <cell r="P17" t="str">
            <v>ACROBATIC</v>
          </cell>
          <cell r="V17" t="str">
            <v>+120%</v>
          </cell>
          <cell r="W17" t="str">
            <v>+100%</v>
          </cell>
        </row>
        <row r="18">
          <cell r="C18" t="str">
            <v>02</v>
          </cell>
          <cell r="D18" t="str">
            <v>+139%</v>
          </cell>
          <cell r="E18" t="str">
            <v>+ 99%</v>
          </cell>
          <cell r="F18" t="str">
            <v>B</v>
          </cell>
          <cell r="H18" t="str">
            <v>( 99%)</v>
          </cell>
          <cell r="I18" t="str">
            <v>+119</v>
          </cell>
          <cell r="J18" t="str">
            <v>REV   </v>
          </cell>
          <cell r="N18" t="str">
            <v>Up&amp;Cntr</v>
          </cell>
          <cell r="P18" t="str">
            <v>GLID(1FLP)</v>
          </cell>
          <cell r="V18" t="str">
            <v>+119%</v>
          </cell>
          <cell r="W18" t="str">
            <v>+ 99%</v>
          </cell>
        </row>
        <row r="19">
          <cell r="C19" t="str">
            <v>03</v>
          </cell>
          <cell r="D19" t="str">
            <v>+138%</v>
          </cell>
          <cell r="E19" t="str">
            <v>+ 98%</v>
          </cell>
          <cell r="F19" t="str">
            <v>C</v>
          </cell>
          <cell r="H19" t="str">
            <v>( 98%)</v>
          </cell>
          <cell r="I19" t="str">
            <v>+118</v>
          </cell>
          <cell r="N19" t="str">
            <v>CENTER</v>
          </cell>
          <cell r="P19" t="str">
            <v>GLID(2FLP)</v>
          </cell>
          <cell r="V19" t="str">
            <v>+118%</v>
          </cell>
          <cell r="W19" t="str">
            <v>+ 98%</v>
          </cell>
        </row>
        <row r="20">
          <cell r="C20" t="str">
            <v>04</v>
          </cell>
          <cell r="D20" t="str">
            <v>+137%</v>
          </cell>
          <cell r="E20" t="str">
            <v>+ 97%</v>
          </cell>
          <cell r="F20" t="str">
            <v>D</v>
          </cell>
          <cell r="H20" t="str">
            <v>( 97%)</v>
          </cell>
          <cell r="I20" t="str">
            <v>+117</v>
          </cell>
          <cell r="N20" t="str">
            <v>Cntr&amp;Dn</v>
          </cell>
          <cell r="P20" t="str">
            <v>HELI(SWH1)</v>
          </cell>
          <cell r="V20" t="str">
            <v>+117%</v>
          </cell>
          <cell r="W20" t="str">
            <v>+ 97%</v>
          </cell>
        </row>
        <row r="21">
          <cell r="C21" t="str">
            <v>05</v>
          </cell>
          <cell r="D21" t="str">
            <v>+136%</v>
          </cell>
          <cell r="E21" t="str">
            <v>+ 96%</v>
          </cell>
          <cell r="F21" t="str">
            <v>E</v>
          </cell>
          <cell r="H21" t="str">
            <v>( 96%)</v>
          </cell>
          <cell r="I21" t="str">
            <v>+116</v>
          </cell>
          <cell r="N21" t="str">
            <v>DOWN</v>
          </cell>
          <cell r="P21" t="str">
            <v>HELI(SWH2)</v>
          </cell>
          <cell r="V21" t="str">
            <v>+116%</v>
          </cell>
          <cell r="W21" t="str">
            <v>+ 96%</v>
          </cell>
        </row>
        <row r="22">
          <cell r="C22" t="str">
            <v>06</v>
          </cell>
          <cell r="D22" t="str">
            <v>+135%</v>
          </cell>
          <cell r="E22" t="str">
            <v>+ 95%</v>
          </cell>
          <cell r="F22" t="str">
            <v>F</v>
          </cell>
          <cell r="H22" t="str">
            <v>( 95%)</v>
          </cell>
          <cell r="I22" t="str">
            <v>+115</v>
          </cell>
          <cell r="N22" t="str">
            <v>NULL</v>
          </cell>
          <cell r="P22" t="str">
            <v>HELI(SWH4)</v>
          </cell>
          <cell r="V22" t="str">
            <v>+115%</v>
          </cell>
          <cell r="W22" t="str">
            <v>+ 95%</v>
          </cell>
        </row>
        <row r="23">
          <cell r="C23" t="str">
            <v>07</v>
          </cell>
          <cell r="D23" t="str">
            <v>+134%</v>
          </cell>
          <cell r="E23" t="str">
            <v>+ 94%</v>
          </cell>
          <cell r="F23" t="str">
            <v>G</v>
          </cell>
          <cell r="H23" t="str">
            <v>( 94%)</v>
          </cell>
          <cell r="I23" t="str">
            <v>+114</v>
          </cell>
          <cell r="P23" t="str">
            <v>HELI(SR-3)</v>
          </cell>
          <cell r="V23" t="str">
            <v>+114%</v>
          </cell>
          <cell r="W23" t="str">
            <v>+ 94%</v>
          </cell>
        </row>
        <row r="24">
          <cell r="C24" t="str">
            <v>08</v>
          </cell>
          <cell r="D24" t="str">
            <v>+133%</v>
          </cell>
          <cell r="E24" t="str">
            <v>+ 93%</v>
          </cell>
          <cell r="F24" t="str">
            <v>H</v>
          </cell>
          <cell r="H24" t="str">
            <v>( 93%)</v>
          </cell>
          <cell r="I24" t="str">
            <v>+113</v>
          </cell>
          <cell r="P24" t="str">
            <v>HELI(SN-3)</v>
          </cell>
          <cell r="V24" t="str">
            <v>+113%</v>
          </cell>
          <cell r="W24" t="str">
            <v>+ 93%</v>
          </cell>
        </row>
        <row r="25">
          <cell r="C25" t="str">
            <v>09</v>
          </cell>
          <cell r="D25" t="str">
            <v>+132%</v>
          </cell>
          <cell r="E25" t="str">
            <v>+ 92%</v>
          </cell>
          <cell r="F25" t="str">
            <v>AIL</v>
          </cell>
          <cell r="H25" t="str">
            <v>( 92%)</v>
          </cell>
          <cell r="I25" t="str">
            <v>+112</v>
          </cell>
          <cell r="V25" t="str">
            <v>+112%</v>
          </cell>
          <cell r="W25" t="str">
            <v>+ 92%</v>
          </cell>
        </row>
        <row r="26">
          <cell r="C26" t="str">
            <v>10</v>
          </cell>
          <cell r="D26" t="str">
            <v>+131%</v>
          </cell>
          <cell r="E26" t="str">
            <v>+ 91%</v>
          </cell>
          <cell r="F26" t="str">
            <v>ELE</v>
          </cell>
          <cell r="H26" t="str">
            <v>( 91%)</v>
          </cell>
          <cell r="I26" t="str">
            <v>+111</v>
          </cell>
          <cell r="V26" t="str">
            <v>+111%</v>
          </cell>
          <cell r="W26" t="str">
            <v>+ 91%</v>
          </cell>
        </row>
        <row r="27">
          <cell r="C27" t="str">
            <v>11</v>
          </cell>
          <cell r="D27" t="str">
            <v>+130%</v>
          </cell>
          <cell r="E27" t="str">
            <v>+ 90%</v>
          </cell>
          <cell r="F27" t="str">
            <v>THR</v>
          </cell>
          <cell r="H27" t="str">
            <v>( 90%)</v>
          </cell>
          <cell r="I27" t="str">
            <v>+110</v>
          </cell>
          <cell r="V27" t="str">
            <v>+110%</v>
          </cell>
          <cell r="W27" t="str">
            <v>+ 90%</v>
          </cell>
        </row>
        <row r="28">
          <cell r="C28" t="str">
            <v>12</v>
          </cell>
          <cell r="D28" t="str">
            <v>+129%</v>
          </cell>
          <cell r="E28" t="str">
            <v>+ 89%</v>
          </cell>
          <cell r="F28" t="str">
            <v>RUD</v>
          </cell>
          <cell r="H28" t="str">
            <v>( 89%)</v>
          </cell>
          <cell r="I28" t="str">
            <v>+109</v>
          </cell>
          <cell r="V28" t="str">
            <v>+109%</v>
          </cell>
          <cell r="W28" t="str">
            <v>+ 89%</v>
          </cell>
        </row>
        <row r="29">
          <cell r="C29" t="str">
            <v>13</v>
          </cell>
          <cell r="D29" t="str">
            <v>+128%</v>
          </cell>
          <cell r="E29" t="str">
            <v>+ 88%</v>
          </cell>
          <cell r="H29" t="str">
            <v>( 88%)</v>
          </cell>
          <cell r="I29" t="str">
            <v>+108</v>
          </cell>
          <cell r="V29" t="str">
            <v>+108%</v>
          </cell>
          <cell r="W29" t="str">
            <v>+ 88%</v>
          </cell>
        </row>
        <row r="30">
          <cell r="C30" t="str">
            <v>14</v>
          </cell>
          <cell r="D30" t="str">
            <v>+127%</v>
          </cell>
          <cell r="E30" t="str">
            <v>+ 87%</v>
          </cell>
          <cell r="H30" t="str">
            <v>( 87%)</v>
          </cell>
          <cell r="I30" t="str">
            <v>+107</v>
          </cell>
          <cell r="V30" t="str">
            <v>+107%</v>
          </cell>
          <cell r="W30" t="str">
            <v>+ 87%</v>
          </cell>
        </row>
        <row r="31">
          <cell r="D31" t="str">
            <v>+126%</v>
          </cell>
          <cell r="E31" t="str">
            <v>+ 86%</v>
          </cell>
          <cell r="H31" t="str">
            <v>( 86%)</v>
          </cell>
          <cell r="I31" t="str">
            <v>+106</v>
          </cell>
          <cell r="V31" t="str">
            <v>+106%</v>
          </cell>
          <cell r="W31" t="str">
            <v>+ 86%</v>
          </cell>
        </row>
        <row r="32">
          <cell r="D32" t="str">
            <v>+125%</v>
          </cell>
          <cell r="E32" t="str">
            <v>+ 85%</v>
          </cell>
          <cell r="H32" t="str">
            <v>( 85%)</v>
          </cell>
          <cell r="I32" t="str">
            <v>+105</v>
          </cell>
          <cell r="V32" t="str">
            <v>+105%</v>
          </cell>
          <cell r="W32" t="str">
            <v>+ 85%</v>
          </cell>
        </row>
        <row r="33">
          <cell r="D33" t="str">
            <v>+124%</v>
          </cell>
          <cell r="E33" t="str">
            <v>+ 84%</v>
          </cell>
          <cell r="H33" t="str">
            <v>( 84%)</v>
          </cell>
          <cell r="I33" t="str">
            <v>+104</v>
          </cell>
          <cell r="V33" t="str">
            <v>+104%</v>
          </cell>
          <cell r="W33" t="str">
            <v>+ 84%</v>
          </cell>
        </row>
        <row r="34">
          <cell r="D34" t="str">
            <v>+123%</v>
          </cell>
          <cell r="E34" t="str">
            <v>+ 83%</v>
          </cell>
          <cell r="H34" t="str">
            <v>( 83%)</v>
          </cell>
          <cell r="I34" t="str">
            <v>+103</v>
          </cell>
          <cell r="V34" t="str">
            <v>+103%</v>
          </cell>
          <cell r="W34" t="str">
            <v>+ 83%</v>
          </cell>
        </row>
        <row r="35">
          <cell r="D35" t="str">
            <v>+122%</v>
          </cell>
          <cell r="E35" t="str">
            <v>+ 82%</v>
          </cell>
          <cell r="H35" t="str">
            <v>( 82%)</v>
          </cell>
          <cell r="I35" t="str">
            <v>+102</v>
          </cell>
          <cell r="V35" t="str">
            <v>+102%</v>
          </cell>
          <cell r="W35" t="str">
            <v>+ 82%</v>
          </cell>
        </row>
        <row r="36">
          <cell r="D36" t="str">
            <v>+121%</v>
          </cell>
          <cell r="E36" t="str">
            <v>+ 81%</v>
          </cell>
          <cell r="H36" t="str">
            <v>( 81%)</v>
          </cell>
          <cell r="I36" t="str">
            <v>+101</v>
          </cell>
          <cell r="V36" t="str">
            <v>+101%</v>
          </cell>
          <cell r="W36" t="str">
            <v>+ 81%</v>
          </cell>
        </row>
        <row r="37">
          <cell r="D37" t="str">
            <v>+120%</v>
          </cell>
          <cell r="E37" t="str">
            <v>+ 80%</v>
          </cell>
          <cell r="H37" t="str">
            <v>( 80%)</v>
          </cell>
          <cell r="I37" t="str">
            <v>+100</v>
          </cell>
          <cell r="V37" t="str">
            <v>+100%</v>
          </cell>
          <cell r="W37" t="str">
            <v>+ 80%</v>
          </cell>
        </row>
        <row r="38">
          <cell r="D38" t="str">
            <v>+119%</v>
          </cell>
          <cell r="E38" t="str">
            <v>+ 79%</v>
          </cell>
          <cell r="H38" t="str">
            <v>( 79%)</v>
          </cell>
          <cell r="I38" t="str">
            <v>+ 99</v>
          </cell>
          <cell r="V38" t="str">
            <v>+ 99%</v>
          </cell>
          <cell r="W38" t="str">
            <v>+ 79%</v>
          </cell>
        </row>
        <row r="39">
          <cell r="D39" t="str">
            <v>+118%</v>
          </cell>
          <cell r="E39" t="str">
            <v>+ 78%</v>
          </cell>
          <cell r="H39" t="str">
            <v>( 78%)</v>
          </cell>
          <cell r="I39" t="str">
            <v>+ 98</v>
          </cell>
          <cell r="V39" t="str">
            <v>+ 98%</v>
          </cell>
          <cell r="W39" t="str">
            <v>+ 78%</v>
          </cell>
        </row>
        <row r="40">
          <cell r="D40" t="str">
            <v>+117%</v>
          </cell>
          <cell r="E40" t="str">
            <v>+ 77%</v>
          </cell>
          <cell r="H40" t="str">
            <v>( 77%)</v>
          </cell>
          <cell r="I40" t="str">
            <v>+ 97</v>
          </cell>
          <cell r="V40" t="str">
            <v>+ 97%</v>
          </cell>
          <cell r="W40" t="str">
            <v>+ 77%</v>
          </cell>
        </row>
        <row r="41">
          <cell r="D41" t="str">
            <v>+116%</v>
          </cell>
          <cell r="E41" t="str">
            <v>+ 76%</v>
          </cell>
          <cell r="H41" t="str">
            <v>( 76%)</v>
          </cell>
          <cell r="I41" t="str">
            <v>+ 96</v>
          </cell>
          <cell r="V41" t="str">
            <v>+ 96%</v>
          </cell>
          <cell r="W41" t="str">
            <v>+ 76%</v>
          </cell>
        </row>
        <row r="42">
          <cell r="D42" t="str">
            <v>+115%</v>
          </cell>
          <cell r="E42" t="str">
            <v>+ 75%</v>
          </cell>
          <cell r="H42" t="str">
            <v>( 75%)</v>
          </cell>
          <cell r="I42" t="str">
            <v>+ 95</v>
          </cell>
          <cell r="V42" t="str">
            <v>+ 95%</v>
          </cell>
          <cell r="W42" t="str">
            <v>+ 75%</v>
          </cell>
        </row>
        <row r="43">
          <cell r="D43" t="str">
            <v>+114%</v>
          </cell>
          <cell r="E43" t="str">
            <v>+ 74%</v>
          </cell>
          <cell r="H43" t="str">
            <v>( 74%)</v>
          </cell>
          <cell r="I43" t="str">
            <v>+ 94</v>
          </cell>
          <cell r="V43" t="str">
            <v>+ 94%</v>
          </cell>
          <cell r="W43" t="str">
            <v>+ 74%</v>
          </cell>
        </row>
        <row r="44">
          <cell r="D44" t="str">
            <v>+113%</v>
          </cell>
          <cell r="E44" t="str">
            <v>+ 73%</v>
          </cell>
          <cell r="H44" t="str">
            <v>( 73%)</v>
          </cell>
          <cell r="I44" t="str">
            <v>+ 93</v>
          </cell>
          <cell r="V44" t="str">
            <v>+ 93%</v>
          </cell>
          <cell r="W44" t="str">
            <v>+ 73%</v>
          </cell>
        </row>
        <row r="45">
          <cell r="D45" t="str">
            <v>+112%</v>
          </cell>
          <cell r="E45" t="str">
            <v>+ 72%</v>
          </cell>
          <cell r="H45" t="str">
            <v>( 72%)</v>
          </cell>
          <cell r="I45" t="str">
            <v>+ 92</v>
          </cell>
          <cell r="V45" t="str">
            <v>+ 92%</v>
          </cell>
          <cell r="W45" t="str">
            <v>+ 72%</v>
          </cell>
        </row>
        <row r="46">
          <cell r="D46" t="str">
            <v>+111%</v>
          </cell>
          <cell r="E46" t="str">
            <v>+ 71%</v>
          </cell>
          <cell r="H46" t="str">
            <v>( 71%)</v>
          </cell>
          <cell r="I46" t="str">
            <v>+ 91</v>
          </cell>
          <cell r="V46" t="str">
            <v>+ 91%</v>
          </cell>
          <cell r="W46" t="str">
            <v>+ 71%</v>
          </cell>
        </row>
        <row r="47">
          <cell r="D47" t="str">
            <v>+110%</v>
          </cell>
          <cell r="E47" t="str">
            <v>+ 70%</v>
          </cell>
          <cell r="H47" t="str">
            <v>( 70%)</v>
          </cell>
          <cell r="I47" t="str">
            <v>+ 90</v>
          </cell>
          <cell r="V47" t="str">
            <v>+ 90%</v>
          </cell>
          <cell r="W47" t="str">
            <v>+ 70%</v>
          </cell>
        </row>
        <row r="48">
          <cell r="D48" t="str">
            <v>+109%</v>
          </cell>
          <cell r="E48" t="str">
            <v>+ 69%</v>
          </cell>
          <cell r="H48" t="str">
            <v>( 69%)</v>
          </cell>
          <cell r="I48" t="str">
            <v>+ 89</v>
          </cell>
          <cell r="V48" t="str">
            <v>+ 89%</v>
          </cell>
          <cell r="W48" t="str">
            <v>+ 69%</v>
          </cell>
        </row>
        <row r="49">
          <cell r="D49" t="str">
            <v>+108%</v>
          </cell>
          <cell r="E49" t="str">
            <v>+ 68%</v>
          </cell>
          <cell r="H49" t="str">
            <v>( 68%)</v>
          </cell>
          <cell r="I49" t="str">
            <v>+ 88</v>
          </cell>
          <cell r="V49" t="str">
            <v>+ 88%</v>
          </cell>
          <cell r="W49" t="str">
            <v>+ 68%</v>
          </cell>
        </row>
        <row r="50">
          <cell r="D50" t="str">
            <v>+107%</v>
          </cell>
          <cell r="E50" t="str">
            <v>+ 67%</v>
          </cell>
          <cell r="H50" t="str">
            <v>( 67%)</v>
          </cell>
          <cell r="I50" t="str">
            <v>+ 87</v>
          </cell>
          <cell r="V50" t="str">
            <v>+ 87%</v>
          </cell>
          <cell r="W50" t="str">
            <v>+ 67%</v>
          </cell>
        </row>
        <row r="51">
          <cell r="D51" t="str">
            <v>+106%</v>
          </cell>
          <cell r="E51" t="str">
            <v>+ 66%</v>
          </cell>
          <cell r="H51" t="str">
            <v>( 66%)</v>
          </cell>
          <cell r="I51" t="str">
            <v>+ 86</v>
          </cell>
          <cell r="V51" t="str">
            <v>+ 86%</v>
          </cell>
          <cell r="W51" t="str">
            <v>+ 66%</v>
          </cell>
        </row>
        <row r="52">
          <cell r="D52" t="str">
            <v>+105%</v>
          </cell>
          <cell r="E52" t="str">
            <v>+ 65%</v>
          </cell>
          <cell r="H52" t="str">
            <v>( 65%)</v>
          </cell>
          <cell r="I52" t="str">
            <v>+ 85</v>
          </cell>
          <cell r="V52" t="str">
            <v>+ 85%</v>
          </cell>
          <cell r="W52" t="str">
            <v>+ 65%</v>
          </cell>
        </row>
        <row r="53">
          <cell r="D53" t="str">
            <v>+104%</v>
          </cell>
          <cell r="E53" t="str">
            <v>+ 64%</v>
          </cell>
          <cell r="H53" t="str">
            <v>( 64%)</v>
          </cell>
          <cell r="I53" t="str">
            <v>+ 84</v>
          </cell>
          <cell r="V53" t="str">
            <v>+ 84%</v>
          </cell>
          <cell r="W53" t="str">
            <v>+ 64%</v>
          </cell>
        </row>
        <row r="54">
          <cell r="D54" t="str">
            <v>+103%</v>
          </cell>
          <cell r="E54" t="str">
            <v>+ 63%</v>
          </cell>
          <cell r="H54" t="str">
            <v>( 63%)</v>
          </cell>
          <cell r="I54" t="str">
            <v>+ 83</v>
          </cell>
          <cell r="V54" t="str">
            <v>+ 83%</v>
          </cell>
          <cell r="W54" t="str">
            <v>+ 63%</v>
          </cell>
        </row>
        <row r="55">
          <cell r="D55" t="str">
            <v>+102%</v>
          </cell>
          <cell r="E55" t="str">
            <v>+ 62%</v>
          </cell>
          <cell r="H55" t="str">
            <v>( 62%)</v>
          </cell>
          <cell r="I55" t="str">
            <v>+ 82</v>
          </cell>
          <cell r="V55" t="str">
            <v>+ 82%</v>
          </cell>
          <cell r="W55" t="str">
            <v>+ 62%</v>
          </cell>
        </row>
        <row r="56">
          <cell r="D56" t="str">
            <v>+101%</v>
          </cell>
          <cell r="E56" t="str">
            <v>+ 61%</v>
          </cell>
          <cell r="H56" t="str">
            <v>( 61%)</v>
          </cell>
          <cell r="I56" t="str">
            <v>+ 81</v>
          </cell>
          <cell r="V56" t="str">
            <v>+ 81%</v>
          </cell>
          <cell r="W56" t="str">
            <v>+ 61%</v>
          </cell>
        </row>
        <row r="57">
          <cell r="D57" t="str">
            <v>+100%</v>
          </cell>
          <cell r="E57" t="str">
            <v>+ 60%</v>
          </cell>
          <cell r="H57" t="str">
            <v>( 60%)</v>
          </cell>
          <cell r="I57" t="str">
            <v>+ 80</v>
          </cell>
          <cell r="V57" t="str">
            <v>+ 80%</v>
          </cell>
          <cell r="W57" t="str">
            <v>+ 60%</v>
          </cell>
        </row>
        <row r="58">
          <cell r="D58" t="str">
            <v>+ 99%</v>
          </cell>
          <cell r="E58" t="str">
            <v>+ 59%</v>
          </cell>
          <cell r="H58" t="str">
            <v>( 59%)</v>
          </cell>
          <cell r="I58" t="str">
            <v>+ 79</v>
          </cell>
          <cell r="V58" t="str">
            <v>+ 79%</v>
          </cell>
          <cell r="W58" t="str">
            <v>+ 59%</v>
          </cell>
        </row>
        <row r="59">
          <cell r="D59" t="str">
            <v>+ 98%</v>
          </cell>
          <cell r="E59" t="str">
            <v>+ 58%</v>
          </cell>
          <cell r="H59" t="str">
            <v>( 58%)</v>
          </cell>
          <cell r="I59" t="str">
            <v>+ 78</v>
          </cell>
          <cell r="V59" t="str">
            <v>+ 78%</v>
          </cell>
          <cell r="W59" t="str">
            <v>+ 58%</v>
          </cell>
        </row>
        <row r="60">
          <cell r="D60" t="str">
            <v>+ 97%</v>
          </cell>
          <cell r="E60" t="str">
            <v>+ 57%</v>
          </cell>
          <cell r="H60" t="str">
            <v>( 57%)</v>
          </cell>
          <cell r="I60" t="str">
            <v>+ 77</v>
          </cell>
          <cell r="V60" t="str">
            <v>+ 77%</v>
          </cell>
          <cell r="W60" t="str">
            <v>+ 57%</v>
          </cell>
        </row>
        <row r="61">
          <cell r="D61" t="str">
            <v>+ 96%</v>
          </cell>
          <cell r="E61" t="str">
            <v>+ 56%</v>
          </cell>
          <cell r="H61" t="str">
            <v>( 56%)</v>
          </cell>
          <cell r="I61" t="str">
            <v>+ 76</v>
          </cell>
          <cell r="V61" t="str">
            <v>+ 76%</v>
          </cell>
          <cell r="W61" t="str">
            <v>+ 56%</v>
          </cell>
        </row>
        <row r="62">
          <cell r="D62" t="str">
            <v>+ 95%</v>
          </cell>
          <cell r="E62" t="str">
            <v>+ 55%</v>
          </cell>
          <cell r="H62" t="str">
            <v>( 55%)</v>
          </cell>
          <cell r="I62" t="str">
            <v>+ 75</v>
          </cell>
          <cell r="V62" t="str">
            <v>+ 75%</v>
          </cell>
          <cell r="W62" t="str">
            <v>+ 55%</v>
          </cell>
        </row>
        <row r="63">
          <cell r="D63" t="str">
            <v>+ 94%</v>
          </cell>
          <cell r="E63" t="str">
            <v>+ 54%</v>
          </cell>
          <cell r="H63" t="str">
            <v>( 54%)</v>
          </cell>
          <cell r="I63" t="str">
            <v>+ 74</v>
          </cell>
          <cell r="V63" t="str">
            <v>+ 74%</v>
          </cell>
          <cell r="W63" t="str">
            <v>+ 54%</v>
          </cell>
        </row>
        <row r="64">
          <cell r="D64" t="str">
            <v>+ 93%</v>
          </cell>
          <cell r="E64" t="str">
            <v>+ 53%</v>
          </cell>
          <cell r="H64" t="str">
            <v>( 53%)</v>
          </cell>
          <cell r="I64" t="str">
            <v>+ 73</v>
          </cell>
          <cell r="V64" t="str">
            <v>+ 73%</v>
          </cell>
          <cell r="W64" t="str">
            <v>+ 53%</v>
          </cell>
        </row>
        <row r="65">
          <cell r="D65" t="str">
            <v>+ 92%</v>
          </cell>
          <cell r="E65" t="str">
            <v>+ 52%</v>
          </cell>
          <cell r="H65" t="str">
            <v>( 52%)</v>
          </cell>
          <cell r="I65" t="str">
            <v>+ 72</v>
          </cell>
          <cell r="V65" t="str">
            <v>+ 72%</v>
          </cell>
          <cell r="W65" t="str">
            <v>+ 52%</v>
          </cell>
        </row>
        <row r="66">
          <cell r="D66" t="str">
            <v>+ 91%</v>
          </cell>
          <cell r="E66" t="str">
            <v>+ 51%</v>
          </cell>
          <cell r="H66" t="str">
            <v>( 51%)</v>
          </cell>
          <cell r="I66" t="str">
            <v>+ 71</v>
          </cell>
          <cell r="V66" t="str">
            <v>+ 71%</v>
          </cell>
          <cell r="W66" t="str">
            <v>+ 51%</v>
          </cell>
        </row>
        <row r="67">
          <cell r="D67" t="str">
            <v>+ 90%</v>
          </cell>
          <cell r="E67" t="str">
            <v>+ 50%</v>
          </cell>
          <cell r="H67" t="str">
            <v>( 50%)</v>
          </cell>
          <cell r="I67" t="str">
            <v>+ 70</v>
          </cell>
          <cell r="V67" t="str">
            <v>+ 70%</v>
          </cell>
          <cell r="W67" t="str">
            <v>+ 50%</v>
          </cell>
        </row>
        <row r="68">
          <cell r="D68" t="str">
            <v>+ 89%</v>
          </cell>
          <cell r="E68" t="str">
            <v>+ 49%</v>
          </cell>
          <cell r="H68" t="str">
            <v>( 49%)</v>
          </cell>
          <cell r="I68" t="str">
            <v>+ 69</v>
          </cell>
          <cell r="V68" t="str">
            <v>+ 69%</v>
          </cell>
          <cell r="W68" t="str">
            <v>+ 49%</v>
          </cell>
        </row>
        <row r="69">
          <cell r="D69" t="str">
            <v>+ 88%</v>
          </cell>
          <cell r="E69" t="str">
            <v>+ 48%</v>
          </cell>
          <cell r="H69" t="str">
            <v>( 48%)</v>
          </cell>
          <cell r="I69" t="str">
            <v>+ 68</v>
          </cell>
          <cell r="V69" t="str">
            <v>+ 68%</v>
          </cell>
          <cell r="W69" t="str">
            <v>+ 48%</v>
          </cell>
        </row>
        <row r="70">
          <cell r="D70" t="str">
            <v>+ 87%</v>
          </cell>
          <cell r="E70" t="str">
            <v>+ 47%</v>
          </cell>
          <cell r="H70" t="str">
            <v>( 47%)</v>
          </cell>
          <cell r="I70" t="str">
            <v>+ 67</v>
          </cell>
          <cell r="V70" t="str">
            <v>+ 67%</v>
          </cell>
          <cell r="W70" t="str">
            <v>+ 47%</v>
          </cell>
        </row>
        <row r="71">
          <cell r="D71" t="str">
            <v>+ 86%</v>
          </cell>
          <cell r="E71" t="str">
            <v>+ 46%</v>
          </cell>
          <cell r="H71" t="str">
            <v>( 46%)</v>
          </cell>
          <cell r="I71" t="str">
            <v>+ 66</v>
          </cell>
          <cell r="V71" t="str">
            <v>+ 66%</v>
          </cell>
          <cell r="W71" t="str">
            <v>+ 46%</v>
          </cell>
        </row>
        <row r="72">
          <cell r="D72" t="str">
            <v>+ 85%</v>
          </cell>
          <cell r="E72" t="str">
            <v>+ 45%</v>
          </cell>
          <cell r="H72" t="str">
            <v>( 45%)</v>
          </cell>
          <cell r="I72" t="str">
            <v>+ 65</v>
          </cell>
          <cell r="V72" t="str">
            <v>+ 65%</v>
          </cell>
          <cell r="W72" t="str">
            <v>+ 45%</v>
          </cell>
        </row>
        <row r="73">
          <cell r="D73" t="str">
            <v>+ 84%</v>
          </cell>
          <cell r="E73" t="str">
            <v>+ 44%</v>
          </cell>
          <cell r="H73" t="str">
            <v>( 44%)</v>
          </cell>
          <cell r="I73" t="str">
            <v>+ 64</v>
          </cell>
          <cell r="V73" t="str">
            <v>+ 64%</v>
          </cell>
          <cell r="W73" t="str">
            <v>+ 44%</v>
          </cell>
        </row>
        <row r="74">
          <cell r="D74" t="str">
            <v>+ 83%</v>
          </cell>
          <cell r="E74" t="str">
            <v>+ 43%</v>
          </cell>
          <cell r="H74" t="str">
            <v>( 43%)</v>
          </cell>
          <cell r="I74" t="str">
            <v>+ 63</v>
          </cell>
          <cell r="V74" t="str">
            <v>+ 63%</v>
          </cell>
          <cell r="W74" t="str">
            <v>+ 43%</v>
          </cell>
        </row>
        <row r="75">
          <cell r="D75" t="str">
            <v>+ 82%</v>
          </cell>
          <cell r="E75" t="str">
            <v>+ 42%</v>
          </cell>
          <cell r="H75" t="str">
            <v>( 42%)</v>
          </cell>
          <cell r="I75" t="str">
            <v>+ 62</v>
          </cell>
          <cell r="V75" t="str">
            <v>+ 62%</v>
          </cell>
          <cell r="W75" t="str">
            <v>+ 42%</v>
          </cell>
        </row>
        <row r="76">
          <cell r="D76" t="str">
            <v>+ 81%</v>
          </cell>
          <cell r="E76" t="str">
            <v>+ 41%</v>
          </cell>
          <cell r="H76" t="str">
            <v>( 41%)</v>
          </cell>
          <cell r="I76" t="str">
            <v>+ 61</v>
          </cell>
          <cell r="V76" t="str">
            <v>+ 61%</v>
          </cell>
          <cell r="W76" t="str">
            <v>+ 41%</v>
          </cell>
        </row>
        <row r="77">
          <cell r="D77" t="str">
            <v>+ 80%</v>
          </cell>
          <cell r="E77" t="str">
            <v>+ 40%</v>
          </cell>
          <cell r="H77" t="str">
            <v>( 40%)</v>
          </cell>
          <cell r="I77" t="str">
            <v>+ 60</v>
          </cell>
          <cell r="V77" t="str">
            <v>+ 60%</v>
          </cell>
          <cell r="W77" t="str">
            <v>+ 40%</v>
          </cell>
        </row>
        <row r="78">
          <cell r="D78" t="str">
            <v>+ 79%</v>
          </cell>
          <cell r="E78" t="str">
            <v>+ 39%</v>
          </cell>
          <cell r="H78" t="str">
            <v>( 39%)</v>
          </cell>
          <cell r="I78" t="str">
            <v>+ 59</v>
          </cell>
          <cell r="V78" t="str">
            <v>+ 59%</v>
          </cell>
          <cell r="W78" t="str">
            <v>+ 39%</v>
          </cell>
        </row>
        <row r="79">
          <cell r="D79" t="str">
            <v>+ 78%</v>
          </cell>
          <cell r="E79" t="str">
            <v>+ 38%</v>
          </cell>
          <cell r="H79" t="str">
            <v>( 38%)</v>
          </cell>
          <cell r="I79" t="str">
            <v>+ 58</v>
          </cell>
          <cell r="V79" t="str">
            <v>+ 58%</v>
          </cell>
          <cell r="W79" t="str">
            <v>+ 38%</v>
          </cell>
        </row>
        <row r="80">
          <cell r="D80" t="str">
            <v>+ 77%</v>
          </cell>
          <cell r="E80" t="str">
            <v>+ 37%</v>
          </cell>
          <cell r="H80" t="str">
            <v>( 37%)</v>
          </cell>
          <cell r="I80" t="str">
            <v>+ 57</v>
          </cell>
          <cell r="V80" t="str">
            <v>+ 57%</v>
          </cell>
          <cell r="W80" t="str">
            <v>+ 37%</v>
          </cell>
        </row>
        <row r="81">
          <cell r="D81" t="str">
            <v>+ 76%</v>
          </cell>
          <cell r="E81" t="str">
            <v>+ 36%</v>
          </cell>
          <cell r="H81" t="str">
            <v>( 36%)</v>
          </cell>
          <cell r="I81" t="str">
            <v>+ 56</v>
          </cell>
          <cell r="V81" t="str">
            <v>+ 56%</v>
          </cell>
          <cell r="W81" t="str">
            <v>+ 36%</v>
          </cell>
        </row>
        <row r="82">
          <cell r="D82" t="str">
            <v>+ 75%</v>
          </cell>
          <cell r="E82" t="str">
            <v>+ 35%</v>
          </cell>
          <cell r="H82" t="str">
            <v>( 35%)</v>
          </cell>
          <cell r="I82" t="str">
            <v>+ 55</v>
          </cell>
          <cell r="V82" t="str">
            <v>+ 55%</v>
          </cell>
          <cell r="W82" t="str">
            <v>+ 35%</v>
          </cell>
        </row>
        <row r="83">
          <cell r="D83" t="str">
            <v>+ 74%</v>
          </cell>
          <cell r="E83" t="str">
            <v>+ 34%</v>
          </cell>
          <cell r="H83" t="str">
            <v>( 34%)</v>
          </cell>
          <cell r="I83" t="str">
            <v>+ 54</v>
          </cell>
          <cell r="V83" t="str">
            <v>+ 54%</v>
          </cell>
          <cell r="W83" t="str">
            <v>+ 34%</v>
          </cell>
        </row>
        <row r="84">
          <cell r="D84" t="str">
            <v>+ 73%</v>
          </cell>
          <cell r="E84" t="str">
            <v>+ 33%</v>
          </cell>
          <cell r="H84" t="str">
            <v>( 33%)</v>
          </cell>
          <cell r="I84" t="str">
            <v>+ 53</v>
          </cell>
          <cell r="V84" t="str">
            <v>+ 53%</v>
          </cell>
          <cell r="W84" t="str">
            <v>+ 33%</v>
          </cell>
        </row>
        <row r="85">
          <cell r="D85" t="str">
            <v>+ 72%</v>
          </cell>
          <cell r="E85" t="str">
            <v>+ 32%</v>
          </cell>
          <cell r="H85" t="str">
            <v>( 32%)</v>
          </cell>
          <cell r="I85" t="str">
            <v>+ 52</v>
          </cell>
          <cell r="V85" t="str">
            <v>+ 52%</v>
          </cell>
          <cell r="W85" t="str">
            <v>+ 32%</v>
          </cell>
        </row>
        <row r="86">
          <cell r="D86" t="str">
            <v>+ 71%</v>
          </cell>
          <cell r="E86" t="str">
            <v>+ 31%</v>
          </cell>
          <cell r="H86" t="str">
            <v>( 31%)</v>
          </cell>
          <cell r="I86" t="str">
            <v>+ 51</v>
          </cell>
          <cell r="V86" t="str">
            <v>+ 51%</v>
          </cell>
          <cell r="W86" t="str">
            <v>+ 31%</v>
          </cell>
        </row>
        <row r="87">
          <cell r="D87" t="str">
            <v>+ 70%</v>
          </cell>
          <cell r="E87" t="str">
            <v>+ 30%</v>
          </cell>
          <cell r="H87" t="str">
            <v>( 30%)</v>
          </cell>
          <cell r="I87" t="str">
            <v>+ 50</v>
          </cell>
          <cell r="V87" t="str">
            <v>+ 50%</v>
          </cell>
          <cell r="W87" t="str">
            <v>+ 30%</v>
          </cell>
        </row>
        <row r="88">
          <cell r="D88" t="str">
            <v>+ 69%</v>
          </cell>
          <cell r="E88" t="str">
            <v>+ 29%</v>
          </cell>
          <cell r="H88" t="str">
            <v>( 29%)</v>
          </cell>
          <cell r="I88" t="str">
            <v>+ 49</v>
          </cell>
          <cell r="V88" t="str">
            <v>+ 49%</v>
          </cell>
          <cell r="W88" t="str">
            <v>+ 29%</v>
          </cell>
        </row>
        <row r="89">
          <cell r="D89" t="str">
            <v>+ 68%</v>
          </cell>
          <cell r="E89" t="str">
            <v>+ 28%</v>
          </cell>
          <cell r="H89" t="str">
            <v>( 28%)</v>
          </cell>
          <cell r="I89" t="str">
            <v>+ 48</v>
          </cell>
          <cell r="V89" t="str">
            <v>+ 48%</v>
          </cell>
          <cell r="W89" t="str">
            <v>+ 28%</v>
          </cell>
        </row>
        <row r="90">
          <cell r="D90" t="str">
            <v>+ 67%</v>
          </cell>
          <cell r="E90" t="str">
            <v>+ 27%</v>
          </cell>
          <cell r="H90" t="str">
            <v>( 27%)</v>
          </cell>
          <cell r="I90" t="str">
            <v>+ 47</v>
          </cell>
          <cell r="V90" t="str">
            <v>+ 47%</v>
          </cell>
          <cell r="W90" t="str">
            <v>+ 27%</v>
          </cell>
        </row>
        <row r="91">
          <cell r="D91" t="str">
            <v>+ 66%</v>
          </cell>
          <cell r="E91" t="str">
            <v>+ 26%</v>
          </cell>
          <cell r="H91" t="str">
            <v>( 26%)</v>
          </cell>
          <cell r="I91" t="str">
            <v>+ 46</v>
          </cell>
          <cell r="V91" t="str">
            <v>+ 46%</v>
          </cell>
          <cell r="W91" t="str">
            <v>+ 26%</v>
          </cell>
        </row>
        <row r="92">
          <cell r="D92" t="str">
            <v>+ 65%</v>
          </cell>
          <cell r="E92" t="str">
            <v>+ 25%</v>
          </cell>
          <cell r="H92" t="str">
            <v>( 25%)</v>
          </cell>
          <cell r="I92" t="str">
            <v>+ 45</v>
          </cell>
          <cell r="V92" t="str">
            <v>+ 45%</v>
          </cell>
          <cell r="W92" t="str">
            <v>+ 25%</v>
          </cell>
        </row>
        <row r="93">
          <cell r="D93" t="str">
            <v>+ 64%</v>
          </cell>
          <cell r="E93" t="str">
            <v>+ 24%</v>
          </cell>
          <cell r="H93" t="str">
            <v>( 24%)</v>
          </cell>
          <cell r="I93" t="str">
            <v>+ 44</v>
          </cell>
          <cell r="V93" t="str">
            <v>+ 44%</v>
          </cell>
          <cell r="W93" t="str">
            <v>+ 24%</v>
          </cell>
        </row>
        <row r="94">
          <cell r="D94" t="str">
            <v>+ 63%</v>
          </cell>
          <cell r="E94" t="str">
            <v>+ 23%</v>
          </cell>
          <cell r="H94" t="str">
            <v>( 23%)</v>
          </cell>
          <cell r="I94" t="str">
            <v>+ 43</v>
          </cell>
          <cell r="V94" t="str">
            <v>+ 43%</v>
          </cell>
          <cell r="W94" t="str">
            <v>+ 23%</v>
          </cell>
        </row>
        <row r="95">
          <cell r="D95" t="str">
            <v>+ 62%</v>
          </cell>
          <cell r="E95" t="str">
            <v>+ 22%</v>
          </cell>
          <cell r="H95" t="str">
            <v>( 22%)</v>
          </cell>
          <cell r="I95" t="str">
            <v>+ 42</v>
          </cell>
          <cell r="V95" t="str">
            <v>+ 42%</v>
          </cell>
          <cell r="W95" t="str">
            <v>+ 22%</v>
          </cell>
        </row>
        <row r="96">
          <cell r="D96" t="str">
            <v>+ 61%</v>
          </cell>
          <cell r="E96" t="str">
            <v>+ 21%</v>
          </cell>
          <cell r="H96" t="str">
            <v>( 21%)</v>
          </cell>
          <cell r="I96" t="str">
            <v>+ 41</v>
          </cell>
          <cell r="V96" t="str">
            <v>+ 41%</v>
          </cell>
          <cell r="W96" t="str">
            <v>+ 21%</v>
          </cell>
        </row>
        <row r="97">
          <cell r="D97" t="str">
            <v>+ 60%</v>
          </cell>
          <cell r="E97" t="str">
            <v>+ 20%</v>
          </cell>
          <cell r="H97" t="str">
            <v>( 20%)</v>
          </cell>
          <cell r="I97" t="str">
            <v>+ 40</v>
          </cell>
          <cell r="V97" t="str">
            <v>+ 40%</v>
          </cell>
          <cell r="W97" t="str">
            <v>+ 20%</v>
          </cell>
        </row>
        <row r="98">
          <cell r="D98" t="str">
            <v>+ 59%</v>
          </cell>
          <cell r="E98" t="str">
            <v>+ 19%</v>
          </cell>
          <cell r="H98" t="str">
            <v>( 19%)</v>
          </cell>
          <cell r="I98" t="str">
            <v>+ 39</v>
          </cell>
          <cell r="V98" t="str">
            <v>+ 39%</v>
          </cell>
          <cell r="W98" t="str">
            <v>+ 19%</v>
          </cell>
        </row>
        <row r="99">
          <cell r="D99" t="str">
            <v>+ 58%</v>
          </cell>
          <cell r="E99" t="str">
            <v>+ 18%</v>
          </cell>
          <cell r="H99" t="str">
            <v>( 18%)</v>
          </cell>
          <cell r="I99" t="str">
            <v>+ 38</v>
          </cell>
          <cell r="V99" t="str">
            <v>+ 38%</v>
          </cell>
          <cell r="W99" t="str">
            <v>+ 18%</v>
          </cell>
        </row>
        <row r="100">
          <cell r="D100" t="str">
            <v>+ 57%</v>
          </cell>
          <cell r="E100" t="str">
            <v>+ 17%</v>
          </cell>
          <cell r="H100" t="str">
            <v>( 17%)</v>
          </cell>
          <cell r="I100" t="str">
            <v>+ 37</v>
          </cell>
          <cell r="V100" t="str">
            <v>+ 37%</v>
          </cell>
          <cell r="W100" t="str">
            <v>+ 17%</v>
          </cell>
        </row>
        <row r="101">
          <cell r="D101" t="str">
            <v>+ 56%</v>
          </cell>
          <cell r="E101" t="str">
            <v>+ 16%</v>
          </cell>
          <cell r="H101" t="str">
            <v>( 16%)</v>
          </cell>
          <cell r="I101" t="str">
            <v>+ 36</v>
          </cell>
          <cell r="V101" t="str">
            <v>+ 36%</v>
          </cell>
          <cell r="W101" t="str">
            <v>+ 16%</v>
          </cell>
        </row>
        <row r="102">
          <cell r="D102" t="str">
            <v>+ 55%</v>
          </cell>
          <cell r="E102" t="str">
            <v>+ 15%</v>
          </cell>
          <cell r="H102" t="str">
            <v>( 15%)</v>
          </cell>
          <cell r="I102" t="str">
            <v>+ 35</v>
          </cell>
          <cell r="V102" t="str">
            <v>+ 35%</v>
          </cell>
          <cell r="W102" t="str">
            <v>+ 15%</v>
          </cell>
        </row>
        <row r="103">
          <cell r="D103" t="str">
            <v>+ 54%</v>
          </cell>
          <cell r="E103" t="str">
            <v>+ 14%</v>
          </cell>
          <cell r="H103" t="str">
            <v>( 14%)</v>
          </cell>
          <cell r="I103" t="str">
            <v>+ 34</v>
          </cell>
          <cell r="V103" t="str">
            <v>+ 34%</v>
          </cell>
          <cell r="W103" t="str">
            <v>+ 14%</v>
          </cell>
        </row>
        <row r="104">
          <cell r="D104" t="str">
            <v>+ 53%</v>
          </cell>
          <cell r="E104" t="str">
            <v>+ 13%</v>
          </cell>
          <cell r="H104" t="str">
            <v>( 13%)</v>
          </cell>
          <cell r="I104" t="str">
            <v>+ 33</v>
          </cell>
          <cell r="V104" t="str">
            <v>+ 33%</v>
          </cell>
          <cell r="W104" t="str">
            <v>+ 13%</v>
          </cell>
        </row>
        <row r="105">
          <cell r="D105" t="str">
            <v>+ 52%</v>
          </cell>
          <cell r="E105" t="str">
            <v>+ 12%</v>
          </cell>
          <cell r="H105" t="str">
            <v>( 12%)</v>
          </cell>
          <cell r="I105" t="str">
            <v>+ 32</v>
          </cell>
          <cell r="V105" t="str">
            <v>+ 32%</v>
          </cell>
          <cell r="W105" t="str">
            <v>+ 12%</v>
          </cell>
        </row>
        <row r="106">
          <cell r="D106" t="str">
            <v>+ 51%</v>
          </cell>
          <cell r="E106" t="str">
            <v>+ 11%</v>
          </cell>
          <cell r="H106" t="str">
            <v>( 11%)</v>
          </cell>
          <cell r="I106" t="str">
            <v>+ 31</v>
          </cell>
          <cell r="V106" t="str">
            <v>+ 31%</v>
          </cell>
          <cell r="W106" t="str">
            <v>+ 11%</v>
          </cell>
        </row>
        <row r="107">
          <cell r="D107" t="str">
            <v>+ 50%</v>
          </cell>
          <cell r="E107" t="str">
            <v>+ 10%</v>
          </cell>
          <cell r="H107" t="str">
            <v>( 10%)</v>
          </cell>
          <cell r="I107" t="str">
            <v>+ 30</v>
          </cell>
          <cell r="V107" t="str">
            <v>+ 30%</v>
          </cell>
          <cell r="W107" t="str">
            <v>+ 10%</v>
          </cell>
        </row>
        <row r="108">
          <cell r="D108" t="str">
            <v>+ 49%</v>
          </cell>
          <cell r="E108" t="str">
            <v>+  9%</v>
          </cell>
          <cell r="H108" t="str">
            <v>(  9%)</v>
          </cell>
          <cell r="I108" t="str">
            <v>+ 29</v>
          </cell>
          <cell r="V108" t="str">
            <v>+ 29%</v>
          </cell>
          <cell r="W108" t="str">
            <v>+  9%</v>
          </cell>
        </row>
        <row r="109">
          <cell r="D109" t="str">
            <v>+ 48%</v>
          </cell>
          <cell r="E109" t="str">
            <v>+  8%</v>
          </cell>
          <cell r="H109" t="str">
            <v>(  8%)</v>
          </cell>
          <cell r="I109" t="str">
            <v>+ 28</v>
          </cell>
          <cell r="V109" t="str">
            <v>+ 28%</v>
          </cell>
          <cell r="W109" t="str">
            <v>+  8%</v>
          </cell>
        </row>
        <row r="110">
          <cell r="D110" t="str">
            <v>+ 47%</v>
          </cell>
          <cell r="E110" t="str">
            <v>+  7%</v>
          </cell>
          <cell r="H110" t="str">
            <v>(  7%)</v>
          </cell>
          <cell r="I110" t="str">
            <v>+ 27</v>
          </cell>
          <cell r="V110" t="str">
            <v>+ 27%</v>
          </cell>
          <cell r="W110" t="str">
            <v>+  7%</v>
          </cell>
        </row>
        <row r="111">
          <cell r="D111" t="str">
            <v>+ 46%</v>
          </cell>
          <cell r="E111" t="str">
            <v>+  6%</v>
          </cell>
          <cell r="H111" t="str">
            <v>(  6%)</v>
          </cell>
          <cell r="I111" t="str">
            <v>+ 26</v>
          </cell>
          <cell r="V111" t="str">
            <v>+ 26%</v>
          </cell>
          <cell r="W111" t="str">
            <v>+  6%</v>
          </cell>
        </row>
        <row r="112">
          <cell r="D112" t="str">
            <v>+ 45%</v>
          </cell>
          <cell r="E112" t="str">
            <v>+  5%</v>
          </cell>
          <cell r="H112" t="str">
            <v>(  5%)</v>
          </cell>
          <cell r="I112" t="str">
            <v>+ 25</v>
          </cell>
          <cell r="V112" t="str">
            <v>+ 25%</v>
          </cell>
          <cell r="W112" t="str">
            <v>+  5%</v>
          </cell>
        </row>
        <row r="113">
          <cell r="D113" t="str">
            <v>+ 44%</v>
          </cell>
          <cell r="E113" t="str">
            <v>+  4%</v>
          </cell>
          <cell r="H113" t="str">
            <v>(  4%)</v>
          </cell>
          <cell r="I113" t="str">
            <v>+ 24</v>
          </cell>
          <cell r="V113" t="str">
            <v>+ 24%</v>
          </cell>
          <cell r="W113" t="str">
            <v>+  4%</v>
          </cell>
        </row>
        <row r="114">
          <cell r="D114" t="str">
            <v>+ 43%</v>
          </cell>
          <cell r="E114" t="str">
            <v>+  3%</v>
          </cell>
          <cell r="H114" t="str">
            <v>(  3%)</v>
          </cell>
          <cell r="I114" t="str">
            <v>+ 23</v>
          </cell>
          <cell r="V114" t="str">
            <v>+ 23%</v>
          </cell>
          <cell r="W114" t="str">
            <v>+  3%</v>
          </cell>
        </row>
        <row r="115">
          <cell r="D115" t="str">
            <v>+ 42%</v>
          </cell>
          <cell r="E115" t="str">
            <v>+  2%</v>
          </cell>
          <cell r="H115" t="str">
            <v>(  2%)</v>
          </cell>
          <cell r="I115" t="str">
            <v>+ 22</v>
          </cell>
          <cell r="V115" t="str">
            <v>+ 22%</v>
          </cell>
          <cell r="W115" t="str">
            <v>+  2%</v>
          </cell>
        </row>
        <row r="116">
          <cell r="D116" t="str">
            <v>+ 41%</v>
          </cell>
          <cell r="E116" t="str">
            <v>+  1%</v>
          </cell>
          <cell r="H116" t="str">
            <v>(  1%)</v>
          </cell>
          <cell r="I116" t="str">
            <v>+ 21</v>
          </cell>
          <cell r="V116" t="str">
            <v>+ 21%</v>
          </cell>
          <cell r="W116" t="str">
            <v>+  1%</v>
          </cell>
        </row>
        <row r="117">
          <cell r="D117" t="str">
            <v>+ 40%</v>
          </cell>
          <cell r="E117" t="str">
            <v>   0%</v>
          </cell>
          <cell r="H117" t="str">
            <v>(  0%)</v>
          </cell>
          <cell r="I117" t="str">
            <v>+ 20</v>
          </cell>
          <cell r="V117" t="str">
            <v>+ 20%</v>
          </cell>
          <cell r="W117" t="str">
            <v>  0%</v>
          </cell>
        </row>
        <row r="118">
          <cell r="D118" t="str">
            <v>+ 39%</v>
          </cell>
          <cell r="E118" t="str">
            <v>-  1%</v>
          </cell>
          <cell r="I118" t="str">
            <v>+ 19</v>
          </cell>
          <cell r="V118" t="str">
            <v>+ 19%</v>
          </cell>
        </row>
        <row r="119">
          <cell r="D119" t="str">
            <v>+ 38%</v>
          </cell>
          <cell r="E119" t="str">
            <v>-  2%</v>
          </cell>
          <cell r="I119" t="str">
            <v>+ 18</v>
          </cell>
          <cell r="V119" t="str">
            <v>+ 18%</v>
          </cell>
        </row>
        <row r="120">
          <cell r="D120" t="str">
            <v>+ 37%</v>
          </cell>
          <cell r="E120" t="str">
            <v>-  3%</v>
          </cell>
          <cell r="I120" t="str">
            <v>+ 17</v>
          </cell>
          <cell r="V120" t="str">
            <v>+ 17%</v>
          </cell>
        </row>
        <row r="121">
          <cell r="D121" t="str">
            <v>+ 36%</v>
          </cell>
          <cell r="E121" t="str">
            <v>-  4%</v>
          </cell>
          <cell r="I121" t="str">
            <v>+ 16</v>
          </cell>
          <cell r="V121" t="str">
            <v>+ 16%</v>
          </cell>
        </row>
        <row r="122">
          <cell r="D122" t="str">
            <v>+ 35%</v>
          </cell>
          <cell r="E122" t="str">
            <v>-  5%</v>
          </cell>
          <cell r="I122" t="str">
            <v>+ 15</v>
          </cell>
          <cell r="V122" t="str">
            <v>+ 15%</v>
          </cell>
        </row>
        <row r="123">
          <cell r="D123" t="str">
            <v>+ 34%</v>
          </cell>
          <cell r="E123" t="str">
            <v>-  6%</v>
          </cell>
          <cell r="I123" t="str">
            <v>+ 14</v>
          </cell>
          <cell r="V123" t="str">
            <v>+ 14%</v>
          </cell>
        </row>
        <row r="124">
          <cell r="D124" t="str">
            <v>+ 33%</v>
          </cell>
          <cell r="E124" t="str">
            <v>-  7%</v>
          </cell>
          <cell r="I124" t="str">
            <v>+ 13</v>
          </cell>
          <cell r="V124" t="str">
            <v>+ 13%</v>
          </cell>
        </row>
        <row r="125">
          <cell r="D125" t="str">
            <v>+ 32%</v>
          </cell>
          <cell r="E125" t="str">
            <v>-  8%</v>
          </cell>
          <cell r="I125" t="str">
            <v>+ 12</v>
          </cell>
          <cell r="V125" t="str">
            <v>+ 12%</v>
          </cell>
        </row>
        <row r="126">
          <cell r="D126" t="str">
            <v>+ 31%</v>
          </cell>
          <cell r="E126" t="str">
            <v>-  9%</v>
          </cell>
          <cell r="I126" t="str">
            <v>+ 11</v>
          </cell>
          <cell r="V126" t="str">
            <v>+ 11%</v>
          </cell>
        </row>
        <row r="127">
          <cell r="D127" t="str">
            <v>+ 30%</v>
          </cell>
          <cell r="E127" t="str">
            <v>- 10%</v>
          </cell>
          <cell r="I127" t="str">
            <v>+ 10</v>
          </cell>
          <cell r="V127" t="str">
            <v>+ 10%</v>
          </cell>
        </row>
        <row r="128">
          <cell r="D128" t="str">
            <v>+ 29%</v>
          </cell>
          <cell r="E128" t="str">
            <v>- 11%</v>
          </cell>
          <cell r="I128" t="str">
            <v>+  9</v>
          </cell>
          <cell r="V128" t="str">
            <v>+  9%</v>
          </cell>
        </row>
        <row r="129">
          <cell r="D129" t="str">
            <v>+ 28%</v>
          </cell>
          <cell r="E129" t="str">
            <v>- 12%</v>
          </cell>
          <cell r="I129" t="str">
            <v>+  8</v>
          </cell>
          <cell r="V129" t="str">
            <v>+  8%</v>
          </cell>
        </row>
        <row r="130">
          <cell r="D130" t="str">
            <v>+ 27%</v>
          </cell>
          <cell r="E130" t="str">
            <v>- 13%</v>
          </cell>
          <cell r="I130" t="str">
            <v>+  7</v>
          </cell>
          <cell r="V130" t="str">
            <v>+  7%</v>
          </cell>
        </row>
        <row r="131">
          <cell r="D131" t="str">
            <v>+ 26%</v>
          </cell>
          <cell r="E131" t="str">
            <v>- 14%</v>
          </cell>
          <cell r="I131" t="str">
            <v>+  6</v>
          </cell>
          <cell r="V131" t="str">
            <v>+  6%</v>
          </cell>
        </row>
        <row r="132">
          <cell r="D132" t="str">
            <v>+ 25%</v>
          </cell>
          <cell r="E132" t="str">
            <v>- 15%</v>
          </cell>
          <cell r="I132" t="str">
            <v>+  5</v>
          </cell>
          <cell r="V132" t="str">
            <v>+  5%</v>
          </cell>
        </row>
        <row r="133">
          <cell r="D133" t="str">
            <v>+ 24%</v>
          </cell>
          <cell r="E133" t="str">
            <v>- 16%</v>
          </cell>
          <cell r="I133" t="str">
            <v>+  4</v>
          </cell>
          <cell r="V133" t="str">
            <v>+  4%</v>
          </cell>
        </row>
        <row r="134">
          <cell r="D134" t="str">
            <v>+ 23%</v>
          </cell>
          <cell r="E134" t="str">
            <v>- 17%</v>
          </cell>
          <cell r="I134" t="str">
            <v>+  3</v>
          </cell>
          <cell r="V134" t="str">
            <v>+  3%</v>
          </cell>
        </row>
        <row r="135">
          <cell r="D135" t="str">
            <v>+ 22%</v>
          </cell>
          <cell r="E135" t="str">
            <v>- 18%</v>
          </cell>
          <cell r="I135" t="str">
            <v>+  2</v>
          </cell>
          <cell r="V135" t="str">
            <v>+  2%</v>
          </cell>
        </row>
        <row r="136">
          <cell r="D136" t="str">
            <v>+ 21%</v>
          </cell>
          <cell r="E136" t="str">
            <v>- 19%</v>
          </cell>
          <cell r="I136" t="str">
            <v>+  1</v>
          </cell>
          <cell r="V136" t="str">
            <v>+  1%</v>
          </cell>
        </row>
        <row r="137">
          <cell r="D137" t="str">
            <v>+ 20%</v>
          </cell>
          <cell r="E137" t="str">
            <v>- 20%</v>
          </cell>
          <cell r="I137" t="str">
            <v>  0</v>
          </cell>
          <cell r="V137" t="str">
            <v>  0%</v>
          </cell>
        </row>
        <row r="138">
          <cell r="D138" t="str">
            <v>+ 19%</v>
          </cell>
          <cell r="E138" t="str">
            <v>- 21%</v>
          </cell>
          <cell r="I138" t="str">
            <v>-  1</v>
          </cell>
          <cell r="V138" t="str">
            <v>-  1%</v>
          </cell>
        </row>
        <row r="139">
          <cell r="D139" t="str">
            <v>+ 18%</v>
          </cell>
          <cell r="E139" t="str">
            <v>- 22%</v>
          </cell>
          <cell r="I139" t="str">
            <v>-  2</v>
          </cell>
          <cell r="V139" t="str">
            <v>-  2%</v>
          </cell>
        </row>
        <row r="140">
          <cell r="D140" t="str">
            <v>+ 17%</v>
          </cell>
          <cell r="E140" t="str">
            <v>- 23%</v>
          </cell>
          <cell r="I140" t="str">
            <v>-  3</v>
          </cell>
          <cell r="V140" t="str">
            <v>-  3%</v>
          </cell>
        </row>
        <row r="141">
          <cell r="D141" t="str">
            <v>+ 16%</v>
          </cell>
          <cell r="E141" t="str">
            <v>- 24%</v>
          </cell>
          <cell r="I141" t="str">
            <v>-  4</v>
          </cell>
          <cell r="V141" t="str">
            <v>-  4%</v>
          </cell>
        </row>
        <row r="142">
          <cell r="D142" t="str">
            <v>+ 15%</v>
          </cell>
          <cell r="E142" t="str">
            <v>- 25%</v>
          </cell>
          <cell r="I142" t="str">
            <v>-  5</v>
          </cell>
          <cell r="V142" t="str">
            <v>-  5%</v>
          </cell>
        </row>
        <row r="143">
          <cell r="D143" t="str">
            <v>+ 14%</v>
          </cell>
          <cell r="E143" t="str">
            <v>- 26%</v>
          </cell>
          <cell r="I143" t="str">
            <v>-  6</v>
          </cell>
          <cell r="V143" t="str">
            <v>-  6%</v>
          </cell>
        </row>
        <row r="144">
          <cell r="D144" t="str">
            <v>+ 13%</v>
          </cell>
          <cell r="E144" t="str">
            <v>- 27%</v>
          </cell>
          <cell r="I144" t="str">
            <v>-  7</v>
          </cell>
          <cell r="V144" t="str">
            <v>-  7%</v>
          </cell>
        </row>
        <row r="145">
          <cell r="D145" t="str">
            <v>+ 12%</v>
          </cell>
          <cell r="E145" t="str">
            <v>- 28%</v>
          </cell>
          <cell r="I145" t="str">
            <v>-  8</v>
          </cell>
          <cell r="V145" t="str">
            <v>-  8%</v>
          </cell>
        </row>
        <row r="146">
          <cell r="D146" t="str">
            <v>+ 11%</v>
          </cell>
          <cell r="E146" t="str">
            <v>- 29%</v>
          </cell>
          <cell r="I146" t="str">
            <v>-  9</v>
          </cell>
          <cell r="V146" t="str">
            <v>-  9%</v>
          </cell>
        </row>
        <row r="147">
          <cell r="D147" t="str">
            <v>+ 10%</v>
          </cell>
          <cell r="E147" t="str">
            <v>- 30%</v>
          </cell>
          <cell r="I147" t="str">
            <v>- 10</v>
          </cell>
          <cell r="V147" t="str">
            <v>- 10%</v>
          </cell>
        </row>
        <row r="148">
          <cell r="D148" t="str">
            <v>+  9%</v>
          </cell>
          <cell r="E148" t="str">
            <v>- 31%</v>
          </cell>
          <cell r="I148" t="str">
            <v>- 11</v>
          </cell>
          <cell r="V148" t="str">
            <v>- 11%</v>
          </cell>
        </row>
        <row r="149">
          <cell r="D149" t="str">
            <v>+  8%</v>
          </cell>
          <cell r="E149" t="str">
            <v>- 32%</v>
          </cell>
          <cell r="I149" t="str">
            <v>- 12</v>
          </cell>
          <cell r="V149" t="str">
            <v>- 12%</v>
          </cell>
        </row>
        <row r="150">
          <cell r="D150" t="str">
            <v>+  7%</v>
          </cell>
          <cell r="E150" t="str">
            <v>- 33%</v>
          </cell>
          <cell r="I150" t="str">
            <v>- 13</v>
          </cell>
          <cell r="V150" t="str">
            <v>- 13%</v>
          </cell>
        </row>
        <row r="151">
          <cell r="D151" t="str">
            <v>+  6%</v>
          </cell>
          <cell r="E151" t="str">
            <v>- 34%</v>
          </cell>
          <cell r="I151" t="str">
            <v>- 14</v>
          </cell>
          <cell r="V151" t="str">
            <v>- 14%</v>
          </cell>
        </row>
        <row r="152">
          <cell r="D152" t="str">
            <v>+  5%</v>
          </cell>
          <cell r="E152" t="str">
            <v>- 35%</v>
          </cell>
          <cell r="I152" t="str">
            <v>- 15</v>
          </cell>
          <cell r="V152" t="str">
            <v>- 15%</v>
          </cell>
        </row>
        <row r="153">
          <cell r="D153" t="str">
            <v>+  4%</v>
          </cell>
          <cell r="E153" t="str">
            <v>- 36%</v>
          </cell>
          <cell r="I153" t="str">
            <v>- 16</v>
          </cell>
          <cell r="V153" t="str">
            <v>- 16%</v>
          </cell>
        </row>
        <row r="154">
          <cell r="D154" t="str">
            <v>+  3%</v>
          </cell>
          <cell r="E154" t="str">
            <v>- 37%</v>
          </cell>
          <cell r="I154" t="str">
            <v>- 17</v>
          </cell>
          <cell r="V154" t="str">
            <v>- 17%</v>
          </cell>
        </row>
        <row r="155">
          <cell r="D155" t="str">
            <v>+  2%</v>
          </cell>
          <cell r="E155" t="str">
            <v>- 38%</v>
          </cell>
          <cell r="I155" t="str">
            <v>- 18</v>
          </cell>
          <cell r="V155" t="str">
            <v>- 18%</v>
          </cell>
        </row>
        <row r="156">
          <cell r="D156" t="str">
            <v>+  1%</v>
          </cell>
          <cell r="E156" t="str">
            <v>- 39%</v>
          </cell>
          <cell r="I156" t="str">
            <v>- 19</v>
          </cell>
          <cell r="V156" t="str">
            <v>- 19%</v>
          </cell>
        </row>
        <row r="157">
          <cell r="D157" t="str">
            <v>+  0%</v>
          </cell>
          <cell r="E157" t="str">
            <v>- 40%</v>
          </cell>
          <cell r="I157" t="str">
            <v>- 20</v>
          </cell>
          <cell r="V157" t="str">
            <v>- 20%</v>
          </cell>
        </row>
        <row r="158">
          <cell r="E158" t="str">
            <v>- 41%</v>
          </cell>
          <cell r="I158" t="str">
            <v>- 21</v>
          </cell>
          <cell r="V158" t="str">
            <v>- 21%</v>
          </cell>
        </row>
        <row r="159">
          <cell r="E159" t="str">
            <v>- 42%</v>
          </cell>
          <cell r="I159" t="str">
            <v>- 22</v>
          </cell>
          <cell r="V159" t="str">
            <v>- 22%</v>
          </cell>
        </row>
        <row r="160">
          <cell r="E160" t="str">
            <v>- 43%</v>
          </cell>
          <cell r="I160" t="str">
            <v>- 23</v>
          </cell>
          <cell r="V160" t="str">
            <v>- 23%</v>
          </cell>
        </row>
        <row r="161">
          <cell r="E161" t="str">
            <v>- 44%</v>
          </cell>
          <cell r="I161" t="str">
            <v>- 24</v>
          </cell>
          <cell r="V161" t="str">
            <v>- 24%</v>
          </cell>
        </row>
        <row r="162">
          <cell r="E162" t="str">
            <v>- 45%</v>
          </cell>
          <cell r="I162" t="str">
            <v>- 25</v>
          </cell>
          <cell r="V162" t="str">
            <v>- 25%</v>
          </cell>
        </row>
        <row r="163">
          <cell r="E163" t="str">
            <v>- 46%</v>
          </cell>
          <cell r="I163" t="str">
            <v>- 26</v>
          </cell>
          <cell r="V163" t="str">
            <v>- 26%</v>
          </cell>
        </row>
        <row r="164">
          <cell r="E164" t="str">
            <v>- 47%</v>
          </cell>
          <cell r="I164" t="str">
            <v>- 27</v>
          </cell>
          <cell r="V164" t="str">
            <v>- 27%</v>
          </cell>
        </row>
        <row r="165">
          <cell r="E165" t="str">
            <v>- 48%</v>
          </cell>
          <cell r="I165" t="str">
            <v>- 28</v>
          </cell>
          <cell r="V165" t="str">
            <v>- 28%</v>
          </cell>
        </row>
        <row r="166">
          <cell r="E166" t="str">
            <v>- 49%</v>
          </cell>
          <cell r="I166" t="str">
            <v>- 29</v>
          </cell>
          <cell r="V166" t="str">
            <v>- 29%</v>
          </cell>
        </row>
        <row r="167">
          <cell r="E167" t="str">
            <v>- 50%</v>
          </cell>
          <cell r="I167" t="str">
            <v>- 30</v>
          </cell>
          <cell r="V167" t="str">
            <v>- 30%</v>
          </cell>
        </row>
        <row r="168">
          <cell r="E168" t="str">
            <v>- 51%</v>
          </cell>
          <cell r="I168" t="str">
            <v>- 31</v>
          </cell>
          <cell r="V168" t="str">
            <v>- 31%</v>
          </cell>
        </row>
        <row r="169">
          <cell r="E169" t="str">
            <v>- 52%</v>
          </cell>
          <cell r="I169" t="str">
            <v>- 32</v>
          </cell>
          <cell r="V169" t="str">
            <v>- 32%</v>
          </cell>
        </row>
        <row r="170">
          <cell r="E170" t="str">
            <v>- 53%</v>
          </cell>
          <cell r="I170" t="str">
            <v>- 33</v>
          </cell>
          <cell r="V170" t="str">
            <v>- 33%</v>
          </cell>
        </row>
        <row r="171">
          <cell r="E171" t="str">
            <v>- 54%</v>
          </cell>
          <cell r="I171" t="str">
            <v>- 34</v>
          </cell>
          <cell r="V171" t="str">
            <v>- 34%</v>
          </cell>
        </row>
        <row r="172">
          <cell r="E172" t="str">
            <v>- 55%</v>
          </cell>
          <cell r="I172" t="str">
            <v>- 35</v>
          </cell>
          <cell r="V172" t="str">
            <v>- 35%</v>
          </cell>
        </row>
        <row r="173">
          <cell r="E173" t="str">
            <v>- 56%</v>
          </cell>
          <cell r="I173" t="str">
            <v>- 36</v>
          </cell>
          <cell r="V173" t="str">
            <v>- 36%</v>
          </cell>
        </row>
        <row r="174">
          <cell r="E174" t="str">
            <v>- 57%</v>
          </cell>
          <cell r="I174" t="str">
            <v>- 37</v>
          </cell>
          <cell r="V174" t="str">
            <v>- 37%</v>
          </cell>
        </row>
        <row r="175">
          <cell r="E175" t="str">
            <v>- 58%</v>
          </cell>
          <cell r="I175" t="str">
            <v>- 38</v>
          </cell>
          <cell r="V175" t="str">
            <v>- 38%</v>
          </cell>
        </row>
        <row r="176">
          <cell r="E176" t="str">
            <v>- 59%</v>
          </cell>
          <cell r="I176" t="str">
            <v>- 39</v>
          </cell>
          <cell r="V176" t="str">
            <v>- 39%</v>
          </cell>
        </row>
        <row r="177">
          <cell r="E177" t="str">
            <v>- 60%</v>
          </cell>
          <cell r="I177" t="str">
            <v>- 40</v>
          </cell>
          <cell r="V177" t="str">
            <v>- 40%</v>
          </cell>
        </row>
        <row r="178">
          <cell r="E178" t="str">
            <v>- 61%</v>
          </cell>
          <cell r="I178" t="str">
            <v>- 41</v>
          </cell>
          <cell r="V178" t="str">
            <v>- 41%</v>
          </cell>
        </row>
        <row r="179">
          <cell r="E179" t="str">
            <v>- 62%</v>
          </cell>
          <cell r="I179" t="str">
            <v>- 42</v>
          </cell>
          <cell r="V179" t="str">
            <v>- 42%</v>
          </cell>
        </row>
        <row r="180">
          <cell r="E180" t="str">
            <v>- 63%</v>
          </cell>
          <cell r="I180" t="str">
            <v>- 43</v>
          </cell>
          <cell r="V180" t="str">
            <v>- 43%</v>
          </cell>
        </row>
        <row r="181">
          <cell r="E181" t="str">
            <v>- 64%</v>
          </cell>
          <cell r="I181" t="str">
            <v>- 44</v>
          </cell>
          <cell r="V181" t="str">
            <v>- 44%</v>
          </cell>
        </row>
        <row r="182">
          <cell r="E182" t="str">
            <v>- 65%</v>
          </cell>
          <cell r="I182" t="str">
            <v>- 45</v>
          </cell>
          <cell r="V182" t="str">
            <v>- 45%</v>
          </cell>
        </row>
        <row r="183">
          <cell r="E183" t="str">
            <v>- 66%</v>
          </cell>
          <cell r="I183" t="str">
            <v>- 46</v>
          </cell>
          <cell r="V183" t="str">
            <v>- 46%</v>
          </cell>
        </row>
        <row r="184">
          <cell r="E184" t="str">
            <v>- 67%</v>
          </cell>
          <cell r="I184" t="str">
            <v>- 47</v>
          </cell>
          <cell r="V184" t="str">
            <v>- 47%</v>
          </cell>
        </row>
        <row r="185">
          <cell r="E185" t="str">
            <v>- 68%</v>
          </cell>
          <cell r="I185" t="str">
            <v>- 48</v>
          </cell>
          <cell r="V185" t="str">
            <v>- 48%</v>
          </cell>
        </row>
        <row r="186">
          <cell r="E186" t="str">
            <v>- 69%</v>
          </cell>
          <cell r="I186" t="str">
            <v>- 49</v>
          </cell>
          <cell r="V186" t="str">
            <v>- 49%</v>
          </cell>
        </row>
        <row r="187">
          <cell r="E187" t="str">
            <v>- 70%</v>
          </cell>
          <cell r="I187" t="str">
            <v>- 50</v>
          </cell>
          <cell r="V187" t="str">
            <v>- 50%</v>
          </cell>
        </row>
        <row r="188">
          <cell r="E188" t="str">
            <v>- 71%</v>
          </cell>
          <cell r="I188" t="str">
            <v>- 51</v>
          </cell>
          <cell r="V188" t="str">
            <v>- 51%</v>
          </cell>
        </row>
        <row r="189">
          <cell r="E189" t="str">
            <v>- 72%</v>
          </cell>
          <cell r="I189" t="str">
            <v>- 52</v>
          </cell>
          <cell r="V189" t="str">
            <v>- 52%</v>
          </cell>
        </row>
        <row r="190">
          <cell r="E190" t="str">
            <v>- 73%</v>
          </cell>
          <cell r="I190" t="str">
            <v>- 53</v>
          </cell>
          <cell r="V190" t="str">
            <v>- 53%</v>
          </cell>
        </row>
        <row r="191">
          <cell r="E191" t="str">
            <v>- 74%</v>
          </cell>
          <cell r="I191" t="str">
            <v>- 54</v>
          </cell>
          <cell r="V191" t="str">
            <v>- 54%</v>
          </cell>
        </row>
        <row r="192">
          <cell r="E192" t="str">
            <v>- 75%</v>
          </cell>
          <cell r="I192" t="str">
            <v>- 55</v>
          </cell>
          <cell r="V192" t="str">
            <v>- 55%</v>
          </cell>
        </row>
        <row r="193">
          <cell r="E193" t="str">
            <v>- 76%</v>
          </cell>
          <cell r="I193" t="str">
            <v>- 56</v>
          </cell>
          <cell r="V193" t="str">
            <v>- 56%</v>
          </cell>
        </row>
        <row r="194">
          <cell r="E194" t="str">
            <v>- 77%</v>
          </cell>
          <cell r="I194" t="str">
            <v>- 57</v>
          </cell>
          <cell r="V194" t="str">
            <v>- 57%</v>
          </cell>
        </row>
        <row r="195">
          <cell r="E195" t="str">
            <v>- 78%</v>
          </cell>
          <cell r="I195" t="str">
            <v>- 58</v>
          </cell>
          <cell r="V195" t="str">
            <v>- 58%</v>
          </cell>
        </row>
        <row r="196">
          <cell r="E196" t="str">
            <v>- 79%</v>
          </cell>
          <cell r="I196" t="str">
            <v>- 59</v>
          </cell>
          <cell r="V196" t="str">
            <v>- 59%</v>
          </cell>
        </row>
        <row r="197">
          <cell r="E197" t="str">
            <v>- 80%</v>
          </cell>
          <cell r="I197" t="str">
            <v>- 60</v>
          </cell>
          <cell r="V197" t="str">
            <v>- 60%</v>
          </cell>
        </row>
        <row r="198">
          <cell r="E198" t="str">
            <v>- 81%</v>
          </cell>
          <cell r="I198" t="str">
            <v>- 61</v>
          </cell>
          <cell r="V198" t="str">
            <v>- 61%</v>
          </cell>
        </row>
        <row r="199">
          <cell r="E199" t="str">
            <v>- 82%</v>
          </cell>
          <cell r="I199" t="str">
            <v>- 62</v>
          </cell>
          <cell r="V199" t="str">
            <v>- 62%</v>
          </cell>
        </row>
        <row r="200">
          <cell r="E200" t="str">
            <v>- 83%</v>
          </cell>
          <cell r="I200" t="str">
            <v>- 63</v>
          </cell>
          <cell r="V200" t="str">
            <v>- 63%</v>
          </cell>
        </row>
        <row r="201">
          <cell r="E201" t="str">
            <v>- 84%</v>
          </cell>
          <cell r="I201" t="str">
            <v>- 64</v>
          </cell>
          <cell r="V201" t="str">
            <v>- 64%</v>
          </cell>
        </row>
        <row r="202">
          <cell r="E202" t="str">
            <v>- 85%</v>
          </cell>
          <cell r="I202" t="str">
            <v>- 65</v>
          </cell>
          <cell r="V202" t="str">
            <v>- 65%</v>
          </cell>
        </row>
        <row r="203">
          <cell r="E203" t="str">
            <v>- 86%</v>
          </cell>
          <cell r="I203" t="str">
            <v>- 66</v>
          </cell>
          <cell r="V203" t="str">
            <v>- 66%</v>
          </cell>
        </row>
        <row r="204">
          <cell r="E204" t="str">
            <v>- 87%</v>
          </cell>
          <cell r="I204" t="str">
            <v>- 67</v>
          </cell>
          <cell r="V204" t="str">
            <v>- 67%</v>
          </cell>
        </row>
        <row r="205">
          <cell r="E205" t="str">
            <v>- 88%</v>
          </cell>
          <cell r="I205" t="str">
            <v>- 68</v>
          </cell>
          <cell r="V205" t="str">
            <v>- 68%</v>
          </cell>
        </row>
        <row r="206">
          <cell r="E206" t="str">
            <v>- 89%</v>
          </cell>
          <cell r="I206" t="str">
            <v>- 69</v>
          </cell>
          <cell r="V206" t="str">
            <v>- 69%</v>
          </cell>
        </row>
        <row r="207">
          <cell r="E207" t="str">
            <v>- 90%</v>
          </cell>
          <cell r="I207" t="str">
            <v>- 70</v>
          </cell>
          <cell r="V207" t="str">
            <v>- 70%</v>
          </cell>
        </row>
        <row r="208">
          <cell r="E208" t="str">
            <v>- 91%</v>
          </cell>
          <cell r="I208" t="str">
            <v>- 71</v>
          </cell>
          <cell r="V208" t="str">
            <v>- 71%</v>
          </cell>
        </row>
        <row r="209">
          <cell r="E209" t="str">
            <v>- 92%</v>
          </cell>
          <cell r="I209" t="str">
            <v>- 72</v>
          </cell>
          <cell r="V209" t="str">
            <v>- 72%</v>
          </cell>
        </row>
        <row r="210">
          <cell r="E210" t="str">
            <v>- 93%</v>
          </cell>
          <cell r="I210" t="str">
            <v>- 73</v>
          </cell>
          <cell r="V210" t="str">
            <v>- 73%</v>
          </cell>
        </row>
        <row r="211">
          <cell r="E211" t="str">
            <v>- 94%</v>
          </cell>
          <cell r="I211" t="str">
            <v>- 74</v>
          </cell>
          <cell r="V211" t="str">
            <v>- 74%</v>
          </cell>
        </row>
        <row r="212">
          <cell r="E212" t="str">
            <v>- 95%</v>
          </cell>
          <cell r="I212" t="str">
            <v>- 75</v>
          </cell>
          <cell r="V212" t="str">
            <v>- 75%</v>
          </cell>
        </row>
        <row r="213">
          <cell r="E213" t="str">
            <v>- 96%</v>
          </cell>
          <cell r="I213" t="str">
            <v>- 76</v>
          </cell>
          <cell r="V213" t="str">
            <v>- 76%</v>
          </cell>
        </row>
        <row r="214">
          <cell r="E214" t="str">
            <v>- 97%</v>
          </cell>
          <cell r="I214" t="str">
            <v>- 77</v>
          </cell>
          <cell r="V214" t="str">
            <v>- 77%</v>
          </cell>
        </row>
        <row r="215">
          <cell r="E215" t="str">
            <v>- 98%</v>
          </cell>
          <cell r="I215" t="str">
            <v>- 78</v>
          </cell>
          <cell r="V215" t="str">
            <v>- 78%</v>
          </cell>
        </row>
        <row r="216">
          <cell r="E216" t="str">
            <v>- 99%</v>
          </cell>
          <cell r="I216" t="str">
            <v>- 79</v>
          </cell>
          <cell r="V216" t="str">
            <v>- 79%</v>
          </cell>
        </row>
        <row r="217">
          <cell r="E217" t="str">
            <v>-100%</v>
          </cell>
          <cell r="I217" t="str">
            <v>- 80</v>
          </cell>
          <cell r="V217" t="str">
            <v>- 80%</v>
          </cell>
        </row>
        <row r="218">
          <cell r="I218" t="str">
            <v>- 81</v>
          </cell>
          <cell r="V218" t="str">
            <v>- 81%</v>
          </cell>
        </row>
        <row r="219">
          <cell r="I219" t="str">
            <v>- 82</v>
          </cell>
          <cell r="V219" t="str">
            <v>- 82%</v>
          </cell>
        </row>
        <row r="220">
          <cell r="I220" t="str">
            <v>- 83</v>
          </cell>
          <cell r="V220" t="str">
            <v>- 83%</v>
          </cell>
        </row>
        <row r="221">
          <cell r="I221" t="str">
            <v>- 84</v>
          </cell>
          <cell r="V221" t="str">
            <v>- 84%</v>
          </cell>
        </row>
        <row r="222">
          <cell r="I222" t="str">
            <v>- 85</v>
          </cell>
          <cell r="V222" t="str">
            <v>- 85%</v>
          </cell>
        </row>
        <row r="223">
          <cell r="I223" t="str">
            <v>- 86</v>
          </cell>
          <cell r="V223" t="str">
            <v>- 86%</v>
          </cell>
        </row>
        <row r="224">
          <cell r="I224" t="str">
            <v>- 87</v>
          </cell>
          <cell r="V224" t="str">
            <v>- 87%</v>
          </cell>
        </row>
        <row r="225">
          <cell r="I225" t="str">
            <v>- 88</v>
          </cell>
          <cell r="V225" t="str">
            <v>- 88%</v>
          </cell>
        </row>
        <row r="226">
          <cell r="I226" t="str">
            <v>- 89</v>
          </cell>
          <cell r="V226" t="str">
            <v>- 89%</v>
          </cell>
        </row>
        <row r="227">
          <cell r="I227" t="str">
            <v>- 90</v>
          </cell>
          <cell r="V227" t="str">
            <v>- 90%</v>
          </cell>
        </row>
        <row r="228">
          <cell r="I228" t="str">
            <v>- 91</v>
          </cell>
          <cell r="V228" t="str">
            <v>- 91%</v>
          </cell>
        </row>
        <row r="229">
          <cell r="I229" t="str">
            <v>- 92</v>
          </cell>
          <cell r="V229" t="str">
            <v>- 92%</v>
          </cell>
        </row>
        <row r="230">
          <cell r="I230" t="str">
            <v>- 93</v>
          </cell>
          <cell r="V230" t="str">
            <v>- 93%</v>
          </cell>
        </row>
        <row r="231">
          <cell r="I231" t="str">
            <v>- 94</v>
          </cell>
          <cell r="V231" t="str">
            <v>- 94%</v>
          </cell>
        </row>
        <row r="232">
          <cell r="I232" t="str">
            <v>- 95</v>
          </cell>
          <cell r="V232" t="str">
            <v>- 95%</v>
          </cell>
        </row>
        <row r="233">
          <cell r="I233" t="str">
            <v>- 96</v>
          </cell>
          <cell r="V233" t="str">
            <v>- 96%</v>
          </cell>
        </row>
        <row r="234">
          <cell r="I234" t="str">
            <v>- 97</v>
          </cell>
          <cell r="V234" t="str">
            <v>- 97%</v>
          </cell>
        </row>
        <row r="235">
          <cell r="I235" t="str">
            <v>- 98</v>
          </cell>
          <cell r="V235" t="str">
            <v>- 98%</v>
          </cell>
        </row>
        <row r="236">
          <cell r="I236" t="str">
            <v>- 99</v>
          </cell>
          <cell r="V236" t="str">
            <v>- 99%</v>
          </cell>
        </row>
        <row r="237">
          <cell r="I237" t="str">
            <v>-100</v>
          </cell>
          <cell r="V237" t="str">
            <v>-100%</v>
          </cell>
        </row>
        <row r="238">
          <cell r="I238" t="str">
            <v>-101</v>
          </cell>
          <cell r="V238" t="str">
            <v>-101%</v>
          </cell>
        </row>
        <row r="239">
          <cell r="I239" t="str">
            <v>-102</v>
          </cell>
          <cell r="V239" t="str">
            <v>-102%</v>
          </cell>
        </row>
        <row r="240">
          <cell r="I240" t="str">
            <v>-103</v>
          </cell>
          <cell r="V240" t="str">
            <v>-103%</v>
          </cell>
        </row>
        <row r="241">
          <cell r="I241" t="str">
            <v>-104</v>
          </cell>
          <cell r="V241" t="str">
            <v>-104%</v>
          </cell>
        </row>
        <row r="242">
          <cell r="I242" t="str">
            <v>-105</v>
          </cell>
          <cell r="V242" t="str">
            <v>-105%</v>
          </cell>
        </row>
        <row r="243">
          <cell r="I243" t="str">
            <v>-106</v>
          </cell>
          <cell r="V243" t="str">
            <v>-106%</v>
          </cell>
        </row>
        <row r="244">
          <cell r="I244" t="str">
            <v>-107</v>
          </cell>
          <cell r="V244" t="str">
            <v>-107%</v>
          </cell>
        </row>
        <row r="245">
          <cell r="I245" t="str">
            <v>-108</v>
          </cell>
          <cell r="V245" t="str">
            <v>-108%</v>
          </cell>
        </row>
        <row r="246">
          <cell r="I246" t="str">
            <v>-109</v>
          </cell>
          <cell r="V246" t="str">
            <v>-109%</v>
          </cell>
        </row>
        <row r="247">
          <cell r="I247" t="str">
            <v>-110</v>
          </cell>
          <cell r="V247" t="str">
            <v>-110%</v>
          </cell>
        </row>
        <row r="248">
          <cell r="I248" t="str">
            <v>-111</v>
          </cell>
          <cell r="V248" t="str">
            <v>-111%</v>
          </cell>
        </row>
        <row r="249">
          <cell r="I249" t="str">
            <v>-112</v>
          </cell>
          <cell r="V249" t="str">
            <v>-112%</v>
          </cell>
        </row>
        <row r="250">
          <cell r="I250" t="str">
            <v>-113</v>
          </cell>
          <cell r="V250" t="str">
            <v>-113%</v>
          </cell>
        </row>
        <row r="251">
          <cell r="I251" t="str">
            <v>-114</v>
          </cell>
          <cell r="V251" t="str">
            <v>-114%</v>
          </cell>
        </row>
        <row r="252">
          <cell r="I252" t="str">
            <v>-115</v>
          </cell>
          <cell r="V252" t="str">
            <v>-115%</v>
          </cell>
        </row>
        <row r="253">
          <cell r="I253" t="str">
            <v>-116</v>
          </cell>
          <cell r="V253" t="str">
            <v>-116%</v>
          </cell>
        </row>
        <row r="254">
          <cell r="I254" t="str">
            <v>-117</v>
          </cell>
          <cell r="V254" t="str">
            <v>-117%</v>
          </cell>
        </row>
        <row r="255">
          <cell r="I255" t="str">
            <v>-118</v>
          </cell>
          <cell r="V255" t="str">
            <v>-118%</v>
          </cell>
        </row>
        <row r="256">
          <cell r="I256" t="str">
            <v>-119</v>
          </cell>
          <cell r="V256" t="str">
            <v>-119%</v>
          </cell>
        </row>
        <row r="257">
          <cell r="I257" t="str">
            <v>-120</v>
          </cell>
          <cell r="V257" t="str">
            <v>-120%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Q353"/>
  <sheetViews>
    <sheetView showGridLines="0" tabSelected="1" workbookViewId="0" topLeftCell="A35">
      <selection activeCell="F116" sqref="F116"/>
    </sheetView>
  </sheetViews>
  <sheetFormatPr defaultColWidth="9.140625" defaultRowHeight="12.75"/>
  <cols>
    <col min="1" max="1" width="3.7109375" style="0" customWidth="1"/>
    <col min="2" max="12" width="11.7109375" style="0" customWidth="1"/>
  </cols>
  <sheetData>
    <row r="1" ht="16.5" customHeight="1" thickBot="1">
      <c r="M1" s="1"/>
    </row>
    <row r="2" spans="4:10" ht="18.75" thickBot="1">
      <c r="D2" s="327" t="s">
        <v>446</v>
      </c>
      <c r="E2" s="328"/>
      <c r="F2" s="329"/>
      <c r="G2" s="294"/>
      <c r="H2" s="276"/>
      <c r="I2" s="276"/>
      <c r="J2" s="295"/>
    </row>
    <row r="3" spans="2:11" ht="30" customHeight="1" thickBot="1">
      <c r="B3" s="2"/>
      <c r="C3" s="3"/>
      <c r="E3" s="4"/>
      <c r="G3" s="5"/>
      <c r="I3" s="5"/>
      <c r="J3" s="6"/>
      <c r="K3" s="7"/>
    </row>
    <row r="4" spans="2:12" ht="14.25" customHeight="1" thickBot="1">
      <c r="B4" s="325" t="s">
        <v>0</v>
      </c>
      <c r="C4" s="326"/>
      <c r="D4" s="62"/>
      <c r="E4" s="62"/>
      <c r="F4" s="62"/>
      <c r="G4" s="62"/>
      <c r="H4" s="330" t="s">
        <v>445</v>
      </c>
      <c r="I4" s="331"/>
      <c r="J4" s="324">
        <f>D35</f>
        <v>0</v>
      </c>
      <c r="K4" s="62"/>
      <c r="L4" s="62"/>
    </row>
    <row r="5" ht="25.5" customHeight="1" thickBot="1"/>
    <row r="6" spans="2:10" ht="39.75" customHeight="1" thickBot="1">
      <c r="B6" s="9" t="s">
        <v>1</v>
      </c>
      <c r="C6" s="296"/>
      <c r="D6" s="297"/>
      <c r="E6" s="297"/>
      <c r="F6" s="297"/>
      <c r="G6" s="297"/>
      <c r="H6" s="297"/>
      <c r="I6" s="297"/>
      <c r="J6" s="298"/>
    </row>
    <row r="7" spans="3:12" ht="23.25" customHeight="1">
      <c r="C7" s="3"/>
      <c r="D7" s="3"/>
      <c r="E7" s="3"/>
      <c r="F7" s="3"/>
      <c r="G7" s="3"/>
      <c r="H7" s="3"/>
      <c r="I7" s="3"/>
      <c r="J7" s="3"/>
      <c r="L7" s="10"/>
    </row>
    <row r="8" spans="2:10" ht="14.25" customHeight="1">
      <c r="B8" s="11" t="s">
        <v>2</v>
      </c>
      <c r="C8" s="12"/>
      <c r="D8" s="12"/>
      <c r="E8" s="3"/>
      <c r="F8" s="3"/>
      <c r="G8" s="3"/>
      <c r="H8" s="3"/>
      <c r="I8" s="3"/>
      <c r="J8" s="3"/>
    </row>
    <row r="9" spans="12:13" ht="12.75">
      <c r="L9" s="13"/>
      <c r="M9" s="14"/>
    </row>
    <row r="10" spans="2:13" ht="13.5" thickBot="1">
      <c r="B10" s="10" t="s">
        <v>3</v>
      </c>
      <c r="C10" s="15">
        <v>1</v>
      </c>
      <c r="D10" s="15">
        <v>2</v>
      </c>
      <c r="E10" s="15">
        <v>3</v>
      </c>
      <c r="F10" s="15">
        <v>4</v>
      </c>
      <c r="G10" s="15">
        <v>5</v>
      </c>
      <c r="H10" s="15">
        <v>6</v>
      </c>
      <c r="I10" s="15">
        <v>7</v>
      </c>
      <c r="J10" s="16">
        <v>8</v>
      </c>
      <c r="K10" s="17" t="s">
        <v>4</v>
      </c>
      <c r="L10" s="18"/>
      <c r="M10" s="14"/>
    </row>
    <row r="11" spans="2:13" ht="13.5" thickBot="1">
      <c r="B11" s="10" t="s">
        <v>5</v>
      </c>
      <c r="C11" s="19" t="s">
        <v>441</v>
      </c>
      <c r="D11" s="19" t="s">
        <v>7</v>
      </c>
      <c r="E11" s="19" t="s">
        <v>8</v>
      </c>
      <c r="F11" s="19" t="s">
        <v>9</v>
      </c>
      <c r="G11" s="20" t="s">
        <v>10</v>
      </c>
      <c r="H11" s="20" t="s">
        <v>10</v>
      </c>
      <c r="I11" s="20" t="s">
        <v>10</v>
      </c>
      <c r="J11" s="20" t="s">
        <v>10</v>
      </c>
      <c r="K11" s="21" t="s">
        <v>10</v>
      </c>
      <c r="L11" s="22"/>
      <c r="M11" s="14"/>
    </row>
    <row r="12" spans="2:13" s="3" customFormat="1" ht="12.75">
      <c r="B12" s="23"/>
      <c r="C12" s="24"/>
      <c r="D12" s="24"/>
      <c r="E12" s="24"/>
      <c r="F12" s="24"/>
      <c r="J12" s="25" t="s">
        <v>14</v>
      </c>
      <c r="K12" s="26"/>
      <c r="L12" s="27">
        <f>""</f>
      </c>
      <c r="M12" s="28"/>
    </row>
    <row r="13" spans="3:11" s="3" customFormat="1" ht="25.5" customHeight="1" thickBot="1">
      <c r="C13" s="24"/>
      <c r="D13" s="24"/>
      <c r="E13" s="24"/>
      <c r="F13" s="24"/>
      <c r="G13" s="29"/>
      <c r="H13" s="24"/>
      <c r="I13" s="24"/>
      <c r="J13" s="24"/>
      <c r="K13" s="30"/>
    </row>
    <row r="14" spans="2:13" s="3" customFormat="1" ht="18" customHeight="1" thickBot="1">
      <c r="B14" s="31" t="s">
        <v>15</v>
      </c>
      <c r="C14" s="32"/>
      <c r="D14" s="32"/>
      <c r="E14" s="24"/>
      <c r="F14" s="24"/>
      <c r="G14" s="29"/>
      <c r="H14" s="24"/>
      <c r="I14" s="24"/>
      <c r="J14" s="24"/>
      <c r="K14" s="30"/>
      <c r="L14" s="33"/>
      <c r="M14" s="26" t="s">
        <v>16</v>
      </c>
    </row>
    <row r="15" spans="2:13" s="3" customFormat="1" ht="18" customHeight="1" thickBot="1">
      <c r="B15" s="34"/>
      <c r="D15" s="24"/>
      <c r="E15" s="24"/>
      <c r="F15" s="24"/>
      <c r="G15" s="29"/>
      <c r="H15" s="24"/>
      <c r="I15" s="24"/>
      <c r="J15" s="24"/>
      <c r="K15" s="30"/>
      <c r="L15" s="33"/>
      <c r="M15" s="26" t="s">
        <v>17</v>
      </c>
    </row>
    <row r="16" spans="2:13" s="3" customFormat="1" ht="18" customHeight="1" thickBot="1">
      <c r="B16" s="34" t="s">
        <v>18</v>
      </c>
      <c r="C16" s="35"/>
      <c r="D16" s="24"/>
      <c r="E16" s="24"/>
      <c r="F16" s="24"/>
      <c r="G16" s="29"/>
      <c r="H16" s="24"/>
      <c r="I16" s="24"/>
      <c r="J16" s="24"/>
      <c r="K16" s="30"/>
      <c r="L16" s="36"/>
      <c r="M16" s="36"/>
    </row>
    <row r="17" spans="2:13" s="3" customFormat="1" ht="18" customHeight="1" thickBot="1">
      <c r="B17" s="23"/>
      <c r="C17" s="34"/>
      <c r="D17" s="24"/>
      <c r="E17" s="24"/>
      <c r="F17" s="24"/>
      <c r="G17" s="29"/>
      <c r="H17" s="24"/>
      <c r="I17" s="24"/>
      <c r="J17" s="24"/>
      <c r="K17" s="30"/>
      <c r="L17" s="33"/>
      <c r="M17" s="26" t="s">
        <v>16</v>
      </c>
    </row>
    <row r="18" spans="2:13" s="3" customFormat="1" ht="18" customHeight="1" thickBot="1">
      <c r="B18" s="34" t="s">
        <v>16</v>
      </c>
      <c r="C18" s="35"/>
      <c r="D18" s="24"/>
      <c r="E18" s="24"/>
      <c r="F18" s="24"/>
      <c r="G18" s="29"/>
      <c r="H18" s="24"/>
      <c r="I18" s="24"/>
      <c r="J18" s="24"/>
      <c r="K18" s="30"/>
      <c r="L18" s="33"/>
      <c r="M18" s="13" t="s">
        <v>19</v>
      </c>
    </row>
    <row r="19" spans="2:13" s="3" customFormat="1" ht="18" customHeight="1" thickBot="1">
      <c r="B19" s="34" t="s">
        <v>17</v>
      </c>
      <c r="C19" s="35"/>
      <c r="D19" s="24"/>
      <c r="E19" s="24"/>
      <c r="F19" s="24"/>
      <c r="G19" s="29"/>
      <c r="H19" s="24"/>
      <c r="I19" s="24"/>
      <c r="J19" s="24"/>
      <c r="K19" s="30"/>
      <c r="L19" s="33"/>
      <c r="M19" s="26" t="s">
        <v>17</v>
      </c>
    </row>
    <row r="20" spans="2:12" s="3" customFormat="1" ht="13.5" thickBot="1">
      <c r="B20" s="23"/>
      <c r="C20" s="34"/>
      <c r="D20" s="24"/>
      <c r="E20" s="24"/>
      <c r="F20" s="24"/>
      <c r="G20" s="29"/>
      <c r="H20" s="24"/>
      <c r="I20" s="24"/>
      <c r="J20" s="24"/>
      <c r="K20" s="30"/>
      <c r="L20" s="26"/>
    </row>
    <row r="21" spans="2:13" s="3" customFormat="1" ht="18" customHeight="1" thickBot="1">
      <c r="B21" s="23"/>
      <c r="C21" s="35"/>
      <c r="D21" s="24"/>
      <c r="E21" s="24"/>
      <c r="F21" s="24"/>
      <c r="G21" s="29"/>
      <c r="H21" s="24"/>
      <c r="I21" s="24"/>
      <c r="J21" s="24"/>
      <c r="K21" s="30"/>
      <c r="L21" s="33"/>
      <c r="M21" s="26"/>
    </row>
    <row r="22" spans="2:13" s="3" customFormat="1" ht="13.5" thickBot="1">
      <c r="B22" s="23"/>
      <c r="C22" s="34"/>
      <c r="D22" s="24"/>
      <c r="E22" s="24"/>
      <c r="F22" s="24"/>
      <c r="G22" s="29"/>
      <c r="H22" s="24"/>
      <c r="I22" s="24"/>
      <c r="J22" s="24"/>
      <c r="K22" s="30"/>
      <c r="L22" s="26"/>
      <c r="M22" s="26"/>
    </row>
    <row r="23" spans="2:13" s="3" customFormat="1" ht="18" customHeight="1" thickBot="1">
      <c r="B23" s="34" t="s">
        <v>16</v>
      </c>
      <c r="C23" s="35"/>
      <c r="D23" s="24"/>
      <c r="E23" s="24"/>
      <c r="F23" s="24"/>
      <c r="G23" s="29"/>
      <c r="H23" s="24"/>
      <c r="I23" s="24"/>
      <c r="J23" s="24"/>
      <c r="K23" s="30"/>
      <c r="L23" s="33"/>
      <c r="M23" s="26" t="s">
        <v>16</v>
      </c>
    </row>
    <row r="24" spans="2:13" s="3" customFormat="1" ht="18" customHeight="1" thickBot="1">
      <c r="B24" s="34" t="s">
        <v>17</v>
      </c>
      <c r="C24" s="35"/>
      <c r="D24" s="24"/>
      <c r="E24" s="24"/>
      <c r="F24" s="24"/>
      <c r="G24" s="29"/>
      <c r="H24" s="24"/>
      <c r="I24" s="24"/>
      <c r="J24" s="24"/>
      <c r="K24" s="30"/>
      <c r="L24" s="33"/>
      <c r="M24" s="26" t="s">
        <v>17</v>
      </c>
    </row>
    <row r="25" spans="2:12" s="3" customFormat="1" ht="13.5" thickBot="1">
      <c r="B25" s="23"/>
      <c r="C25" s="34"/>
      <c r="D25" s="24"/>
      <c r="E25" s="24"/>
      <c r="F25" s="24"/>
      <c r="G25" s="29"/>
      <c r="H25" s="24"/>
      <c r="I25" s="24"/>
      <c r="J25" s="24"/>
      <c r="K25" s="30"/>
      <c r="L25" s="26"/>
    </row>
    <row r="26" spans="2:13" s="3" customFormat="1" ht="18" customHeight="1" thickBot="1">
      <c r="B26" s="34" t="s">
        <v>16</v>
      </c>
      <c r="C26" s="35"/>
      <c r="D26" s="24"/>
      <c r="E26" s="24"/>
      <c r="F26" s="24"/>
      <c r="G26" s="29"/>
      <c r="H26" s="24"/>
      <c r="I26" s="24"/>
      <c r="J26" s="24"/>
      <c r="K26" s="30"/>
      <c r="L26" s="33"/>
      <c r="M26" s="26" t="s">
        <v>16</v>
      </c>
    </row>
    <row r="27" spans="2:13" s="3" customFormat="1" ht="18" customHeight="1" thickBot="1">
      <c r="B27" s="34" t="s">
        <v>17</v>
      </c>
      <c r="C27" s="35"/>
      <c r="D27" s="24"/>
      <c r="E27" s="24"/>
      <c r="F27" s="24"/>
      <c r="G27" s="29"/>
      <c r="H27" s="24"/>
      <c r="I27" s="24"/>
      <c r="J27" s="24"/>
      <c r="K27" s="30"/>
      <c r="L27" s="33"/>
      <c r="M27" s="13" t="s">
        <v>19</v>
      </c>
    </row>
    <row r="28" spans="2:13" s="3" customFormat="1" ht="18" customHeight="1" thickBot="1">
      <c r="B28" s="23"/>
      <c r="C28" s="24"/>
      <c r="D28" s="24"/>
      <c r="E28" s="299"/>
      <c r="F28" s="300"/>
      <c r="G28" s="301"/>
      <c r="H28" s="302"/>
      <c r="I28" s="303"/>
      <c r="J28" s="304"/>
      <c r="K28" s="30"/>
      <c r="L28" s="33"/>
      <c r="M28" s="26" t="s">
        <v>17</v>
      </c>
    </row>
    <row r="29" spans="2:13" s="3" customFormat="1" ht="13.5" customHeight="1">
      <c r="B29" s="23"/>
      <c r="C29" s="24"/>
      <c r="D29" s="24"/>
      <c r="E29" s="37"/>
      <c r="F29" s="37"/>
      <c r="G29" s="38"/>
      <c r="H29" s="38"/>
      <c r="I29" s="39"/>
      <c r="J29" s="39"/>
      <c r="K29" s="30"/>
      <c r="L29" s="37"/>
      <c r="M29" s="26"/>
    </row>
    <row r="30" spans="2:13" s="3" customFormat="1" ht="13.5" customHeight="1">
      <c r="B30" s="23"/>
      <c r="C30" s="40" t="s">
        <v>21</v>
      </c>
      <c r="D30" s="41"/>
      <c r="E30" s="41"/>
      <c r="F30" s="41"/>
      <c r="G30" s="41"/>
      <c r="H30" s="41"/>
      <c r="I30" s="41"/>
      <c r="J30" s="41"/>
      <c r="K30" s="41"/>
      <c r="L30" s="41"/>
      <c r="M30" s="26"/>
    </row>
    <row r="31" spans="2:11" s="3" customFormat="1" ht="23.25" customHeight="1">
      <c r="B31" s="23"/>
      <c r="C31" s="24"/>
      <c r="D31" s="24"/>
      <c r="E31" s="24"/>
      <c r="F31" s="24"/>
      <c r="G31" s="29"/>
      <c r="H31" s="24"/>
      <c r="I31" s="24"/>
      <c r="J31" s="24"/>
      <c r="K31" s="30"/>
    </row>
    <row r="32" spans="2:12" ht="13.5">
      <c r="B32" s="42" t="s">
        <v>22</v>
      </c>
      <c r="C32" s="43"/>
      <c r="D32" s="43"/>
      <c r="E32" s="43"/>
      <c r="F32" s="43"/>
      <c r="G32" s="43"/>
      <c r="H32" s="43"/>
      <c r="I32" s="43"/>
      <c r="J32" s="43"/>
      <c r="K32" s="43"/>
      <c r="L32" s="43"/>
    </row>
    <row r="33" spans="2:12" s="3" customFormat="1" ht="13.5">
      <c r="B33" s="44"/>
      <c r="C33" s="45"/>
      <c r="D33" s="45"/>
      <c r="E33" s="45"/>
      <c r="F33" s="45"/>
      <c r="G33" s="45"/>
      <c r="H33" s="45"/>
      <c r="I33" s="45"/>
      <c r="J33" s="45"/>
      <c r="K33" s="45"/>
      <c r="L33" s="45"/>
    </row>
    <row r="34" spans="2:4" ht="14.25" thickBot="1">
      <c r="B34" s="46"/>
      <c r="C34" s="46"/>
      <c r="D34" s="46"/>
    </row>
    <row r="35" spans="2:13" ht="14.25" thickBot="1">
      <c r="B35" s="47" t="s">
        <v>23</v>
      </c>
      <c r="C35" s="48" t="s">
        <v>24</v>
      </c>
      <c r="D35" s="49"/>
      <c r="F35" s="50" t="s">
        <v>25</v>
      </c>
      <c r="G35" s="41"/>
      <c r="H35" s="41"/>
      <c r="I35" s="41"/>
      <c r="J35" s="41"/>
      <c r="L35" s="51"/>
      <c r="M35" t="s">
        <v>442</v>
      </c>
    </row>
    <row r="36" spans="2:16" ht="14.25" thickBot="1">
      <c r="B36" s="46"/>
      <c r="C36" s="48"/>
      <c r="D36" s="46"/>
      <c r="F36" s="52" t="s">
        <v>26</v>
      </c>
      <c r="G36" s="53"/>
      <c r="H36" s="53"/>
      <c r="I36" s="53"/>
      <c r="J36" s="53"/>
      <c r="L36" s="51"/>
      <c r="M36" s="54" t="s">
        <v>27</v>
      </c>
      <c r="N36" s="41"/>
      <c r="O36" s="41"/>
      <c r="P36" s="41"/>
    </row>
    <row r="37" spans="2:12" ht="14.25" thickBot="1">
      <c r="B37" s="46"/>
      <c r="C37" s="48" t="s">
        <v>28</v>
      </c>
      <c r="D37" s="268"/>
      <c r="E37" s="269"/>
      <c r="F37" s="55" t="s">
        <v>29</v>
      </c>
      <c r="G37" s="56"/>
      <c r="H37" s="57"/>
      <c r="I37" s="58" t="s">
        <v>30</v>
      </c>
      <c r="J37" s="59"/>
      <c r="L37" s="51"/>
    </row>
    <row r="38" spans="3:12" s="3" customFormat="1" ht="13.5" thickBot="1">
      <c r="C38" s="60"/>
      <c r="D38" s="61"/>
      <c r="F38" s="62"/>
      <c r="L38" s="51"/>
    </row>
    <row r="39" spans="2:16" ht="14.25" thickBot="1">
      <c r="B39" s="63"/>
      <c r="C39" s="63"/>
      <c r="D39" s="63"/>
      <c r="E39" s="64"/>
      <c r="F39" s="64"/>
      <c r="G39" s="64"/>
      <c r="H39" s="64"/>
      <c r="I39" s="64"/>
      <c r="J39" s="64"/>
      <c r="K39" s="64"/>
      <c r="L39" s="64"/>
      <c r="M39" s="64"/>
      <c r="N39" s="64"/>
      <c r="O39" s="64"/>
      <c r="P39" s="64"/>
    </row>
    <row r="40" spans="2:16" ht="13.5">
      <c r="B40" s="65" t="s">
        <v>31</v>
      </c>
      <c r="C40" s="66" t="s">
        <v>32</v>
      </c>
      <c r="D40" s="67">
        <v>1</v>
      </c>
      <c r="E40" s="67"/>
      <c r="F40" s="68">
        <v>2</v>
      </c>
      <c r="G40" s="66"/>
      <c r="H40" s="69">
        <v>3</v>
      </c>
      <c r="I40" s="70">
        <v>4</v>
      </c>
      <c r="J40" s="66"/>
      <c r="L40" s="71" t="s">
        <v>33</v>
      </c>
      <c r="M40" s="72"/>
      <c r="N40" s="72"/>
      <c r="O40" s="41"/>
      <c r="P40" s="41"/>
    </row>
    <row r="41" spans="2:16" ht="13.5">
      <c r="B41" s="46"/>
      <c r="C41" s="48"/>
      <c r="D41" s="73" t="s">
        <v>34</v>
      </c>
      <c r="E41" s="74" t="s">
        <v>35</v>
      </c>
      <c r="F41" s="69" t="s">
        <v>36</v>
      </c>
      <c r="G41" s="74" t="s">
        <v>35</v>
      </c>
      <c r="H41" s="69" t="s">
        <v>37</v>
      </c>
      <c r="I41" s="68" t="s">
        <v>38</v>
      </c>
      <c r="J41" s="74" t="s">
        <v>35</v>
      </c>
      <c r="L41" s="71" t="s">
        <v>39</v>
      </c>
      <c r="M41" s="72"/>
      <c r="N41" s="72"/>
      <c r="O41" s="41"/>
      <c r="P41" s="41"/>
    </row>
    <row r="42" spans="2:10" ht="13.5">
      <c r="B42" s="75" t="s">
        <v>40</v>
      </c>
      <c r="C42" s="48" t="s">
        <v>41</v>
      </c>
      <c r="D42" s="76" t="s">
        <v>42</v>
      </c>
      <c r="E42" s="76" t="s">
        <v>42</v>
      </c>
      <c r="F42" s="77" t="s">
        <v>42</v>
      </c>
      <c r="G42" s="76" t="s">
        <v>42</v>
      </c>
      <c r="H42" s="78"/>
      <c r="I42" s="77" t="s">
        <v>42</v>
      </c>
      <c r="J42" s="76" t="s">
        <v>42</v>
      </c>
    </row>
    <row r="43" spans="2:15" ht="13.5">
      <c r="B43" s="79" t="s">
        <v>43</v>
      </c>
      <c r="C43" s="48" t="s">
        <v>44</v>
      </c>
      <c r="D43" s="76" t="s">
        <v>45</v>
      </c>
      <c r="E43" s="76" t="s">
        <v>45</v>
      </c>
      <c r="F43" s="77" t="s">
        <v>45</v>
      </c>
      <c r="G43" s="76" t="s">
        <v>45</v>
      </c>
      <c r="H43" s="80" t="s">
        <v>45</v>
      </c>
      <c r="I43" s="77" t="s">
        <v>45</v>
      </c>
      <c r="J43" s="76" t="s">
        <v>45</v>
      </c>
      <c r="L43" s="54" t="s">
        <v>46</v>
      </c>
      <c r="M43" s="72"/>
      <c r="N43" s="72"/>
      <c r="O43" s="41"/>
    </row>
    <row r="44" spans="3:10" ht="13.5">
      <c r="C44" s="48"/>
      <c r="D44" s="81"/>
      <c r="E44" s="81"/>
      <c r="F44" s="78"/>
      <c r="G44" s="81"/>
      <c r="H44" s="82"/>
      <c r="I44" s="78"/>
      <c r="J44" s="81"/>
    </row>
    <row r="45" spans="2:10" ht="13.5">
      <c r="B45" s="75" t="s">
        <v>47</v>
      </c>
      <c r="C45" s="83" t="s">
        <v>41</v>
      </c>
      <c r="D45" s="273" t="s">
        <v>42</v>
      </c>
      <c r="E45" s="273" t="s">
        <v>42</v>
      </c>
      <c r="F45" s="274" t="s">
        <v>42</v>
      </c>
      <c r="G45" s="273" t="s">
        <v>42</v>
      </c>
      <c r="H45" s="275"/>
      <c r="I45" s="274" t="s">
        <v>42</v>
      </c>
      <c r="J45" s="273" t="s">
        <v>42</v>
      </c>
    </row>
    <row r="46" spans="2:10" ht="13.5">
      <c r="B46" s="79" t="s">
        <v>43</v>
      </c>
      <c r="C46" s="83" t="s">
        <v>44</v>
      </c>
      <c r="D46" s="273" t="s">
        <v>45</v>
      </c>
      <c r="E46" s="273" t="s">
        <v>45</v>
      </c>
      <c r="F46" s="274" t="s">
        <v>45</v>
      </c>
      <c r="G46" s="273" t="s">
        <v>45</v>
      </c>
      <c r="H46" s="275"/>
      <c r="I46" s="274" t="s">
        <v>45</v>
      </c>
      <c r="J46" s="273" t="s">
        <v>45</v>
      </c>
    </row>
    <row r="47" spans="3:10" ht="13.5">
      <c r="C47" s="48"/>
      <c r="D47" s="81"/>
      <c r="E47" s="81"/>
      <c r="F47" s="78"/>
      <c r="G47" s="81"/>
      <c r="H47" s="82"/>
      <c r="I47" s="78"/>
      <c r="J47" s="81"/>
    </row>
    <row r="48" spans="2:10" ht="13.5">
      <c r="B48" s="75" t="s">
        <v>48</v>
      </c>
      <c r="C48" s="48" t="s">
        <v>41</v>
      </c>
      <c r="D48" s="76" t="s">
        <v>42</v>
      </c>
      <c r="E48" s="76" t="s">
        <v>42</v>
      </c>
      <c r="F48" s="77" t="s">
        <v>42</v>
      </c>
      <c r="G48" s="76" t="s">
        <v>42</v>
      </c>
      <c r="H48" s="82"/>
      <c r="I48" s="77" t="s">
        <v>42</v>
      </c>
      <c r="J48" s="76" t="s">
        <v>42</v>
      </c>
    </row>
    <row r="49" spans="2:10" ht="13.5">
      <c r="B49" s="79" t="s">
        <v>43</v>
      </c>
      <c r="C49" s="48" t="s">
        <v>44</v>
      </c>
      <c r="D49" s="76" t="s">
        <v>45</v>
      </c>
      <c r="E49" s="76" t="s">
        <v>45</v>
      </c>
      <c r="F49" s="77" t="s">
        <v>45</v>
      </c>
      <c r="G49" s="76" t="s">
        <v>45</v>
      </c>
      <c r="H49" s="82"/>
      <c r="I49" s="77" t="s">
        <v>45</v>
      </c>
      <c r="J49" s="76" t="s">
        <v>45</v>
      </c>
    </row>
    <row r="50" spans="3:12" ht="14.25" thickBot="1">
      <c r="C50" s="48"/>
      <c r="D50" s="81"/>
      <c r="E50" s="81"/>
      <c r="F50" s="78"/>
      <c r="G50" s="81"/>
      <c r="H50" s="82"/>
      <c r="I50" s="78"/>
      <c r="J50" s="81"/>
      <c r="L50" s="10"/>
    </row>
    <row r="51" spans="2:15" ht="14.25" thickBot="1">
      <c r="B51" s="84" t="s">
        <v>49</v>
      </c>
      <c r="C51" s="48" t="s">
        <v>50</v>
      </c>
      <c r="D51" s="85" t="s">
        <v>51</v>
      </c>
      <c r="E51" s="86" t="s">
        <v>52</v>
      </c>
      <c r="F51" s="87" t="s">
        <v>53</v>
      </c>
      <c r="G51" s="86" t="s">
        <v>52</v>
      </c>
      <c r="H51" s="78"/>
      <c r="I51" s="87" t="s">
        <v>54</v>
      </c>
      <c r="J51" s="86" t="s">
        <v>52</v>
      </c>
      <c r="K51" s="88"/>
      <c r="L51" s="79" t="s">
        <v>55</v>
      </c>
      <c r="M51" s="89"/>
      <c r="N51" s="89"/>
      <c r="O51" s="89"/>
    </row>
    <row r="52" spans="3:15" ht="12.75">
      <c r="C52" s="90"/>
      <c r="L52" s="79" t="s">
        <v>56</v>
      </c>
      <c r="M52" s="89"/>
      <c r="N52" s="89"/>
      <c r="O52" s="89"/>
    </row>
    <row r="53" spans="3:11" ht="13.5">
      <c r="C53" s="48"/>
      <c r="D53" s="91" t="s">
        <v>57</v>
      </c>
      <c r="E53" s="92"/>
      <c r="F53" s="72"/>
      <c r="G53" s="93"/>
      <c r="H53" s="72"/>
      <c r="I53" s="72"/>
      <c r="J53" s="72"/>
      <c r="K53" s="41"/>
    </row>
    <row r="54" spans="4:11" ht="12.75">
      <c r="D54" s="91" t="s">
        <v>58</v>
      </c>
      <c r="E54" s="92"/>
      <c r="F54" s="72"/>
      <c r="G54" s="93"/>
      <c r="H54" s="72"/>
      <c r="I54" s="72"/>
      <c r="J54" s="72"/>
      <c r="K54" s="41"/>
    </row>
    <row r="55" spans="4:13" ht="12.75">
      <c r="D55" s="91" t="s">
        <v>59</v>
      </c>
      <c r="E55" s="92"/>
      <c r="F55" s="72"/>
      <c r="G55" s="93"/>
      <c r="H55" s="72"/>
      <c r="I55" s="72"/>
      <c r="J55" s="72"/>
      <c r="K55" s="41"/>
      <c r="L55" s="3"/>
      <c r="M55" s="3"/>
    </row>
    <row r="56" spans="3:10" s="3" customFormat="1" ht="12.75">
      <c r="C56" s="60"/>
      <c r="D56" s="29"/>
      <c r="E56" s="30"/>
      <c r="F56" s="60"/>
      <c r="G56" s="94"/>
      <c r="H56" s="60"/>
      <c r="I56" s="60"/>
      <c r="J56" s="60"/>
    </row>
    <row r="57" spans="2:14" ht="13.5" thickBot="1">
      <c r="B57" s="64"/>
      <c r="C57" s="64"/>
      <c r="D57" s="64"/>
      <c r="E57" s="64"/>
      <c r="F57" s="64"/>
      <c r="G57" s="64"/>
      <c r="H57" s="64"/>
      <c r="I57" s="64"/>
      <c r="J57" s="64"/>
      <c r="K57" s="64"/>
      <c r="L57" s="64"/>
      <c r="M57" s="64"/>
      <c r="N57" s="64"/>
    </row>
    <row r="58" spans="2:10" ht="13.5">
      <c r="B58" s="65" t="s">
        <v>60</v>
      </c>
      <c r="C58" s="66" t="s">
        <v>61</v>
      </c>
      <c r="D58" s="95" t="s">
        <v>42</v>
      </c>
      <c r="E58" s="95" t="s">
        <v>42</v>
      </c>
      <c r="F58" s="96"/>
      <c r="G58" s="71" t="s">
        <v>62</v>
      </c>
      <c r="H58" s="97"/>
      <c r="I58" s="98"/>
      <c r="J58" s="98"/>
    </row>
    <row r="59" spans="2:5" ht="13.5">
      <c r="B59" s="46"/>
      <c r="C59" s="48" t="s">
        <v>63</v>
      </c>
      <c r="D59" s="95" t="s">
        <v>42</v>
      </c>
      <c r="E59" s="95" t="s">
        <v>42</v>
      </c>
    </row>
    <row r="60" spans="2:8" ht="13.5">
      <c r="B60" s="46"/>
      <c r="C60" s="48" t="s">
        <v>64</v>
      </c>
      <c r="D60" s="95" t="s">
        <v>42</v>
      </c>
      <c r="E60" s="95" t="s">
        <v>42</v>
      </c>
      <c r="H60" s="90"/>
    </row>
    <row r="61" spans="2:9" ht="13.5">
      <c r="B61" s="46"/>
      <c r="C61" s="48" t="s">
        <v>65</v>
      </c>
      <c r="D61" s="95" t="s">
        <v>42</v>
      </c>
      <c r="E61" s="95" t="s">
        <v>42</v>
      </c>
      <c r="H61" s="90"/>
      <c r="I61" s="90"/>
    </row>
    <row r="62" spans="2:9" ht="13.5">
      <c r="B62" s="46"/>
      <c r="C62" s="48" t="s">
        <v>66</v>
      </c>
      <c r="D62" s="95" t="s">
        <v>42</v>
      </c>
      <c r="E62" s="95" t="s">
        <v>42</v>
      </c>
      <c r="H62" s="90"/>
      <c r="I62" s="90"/>
    </row>
    <row r="63" spans="2:9" ht="13.5">
      <c r="B63" s="46"/>
      <c r="C63" s="48" t="s">
        <v>67</v>
      </c>
      <c r="D63" s="95" t="s">
        <v>42</v>
      </c>
      <c r="E63" s="95" t="s">
        <v>42</v>
      </c>
      <c r="H63" s="90"/>
      <c r="I63" s="90"/>
    </row>
    <row r="64" spans="2:9" ht="13.5">
      <c r="B64" s="46"/>
      <c r="C64" s="48" t="s">
        <v>68</v>
      </c>
      <c r="D64" s="95" t="s">
        <v>42</v>
      </c>
      <c r="E64" s="95" t="s">
        <v>42</v>
      </c>
      <c r="H64" s="90"/>
      <c r="I64" s="90"/>
    </row>
    <row r="65" spans="2:9" ht="13.5">
      <c r="B65" s="46"/>
      <c r="C65" s="48" t="s">
        <v>69</v>
      </c>
      <c r="D65" s="95" t="s">
        <v>42</v>
      </c>
      <c r="E65" s="95" t="s">
        <v>42</v>
      </c>
      <c r="H65" s="90"/>
      <c r="I65" s="90"/>
    </row>
    <row r="66" spans="2:9" s="3" customFormat="1" ht="13.5">
      <c r="B66" s="45"/>
      <c r="C66" s="73"/>
      <c r="D66" s="99"/>
      <c r="E66" s="99"/>
      <c r="H66" s="60"/>
      <c r="I66" s="60"/>
    </row>
    <row r="67" spans="2:14" ht="13.5" thickBot="1">
      <c r="B67" s="64"/>
      <c r="C67" s="64"/>
      <c r="D67" s="64"/>
      <c r="E67" s="64"/>
      <c r="F67" s="64"/>
      <c r="G67" s="64"/>
      <c r="H67" s="100"/>
      <c r="I67" s="100"/>
      <c r="J67" s="64"/>
      <c r="K67" s="64"/>
      <c r="L67" s="64"/>
      <c r="M67" s="64"/>
      <c r="N67" s="64"/>
    </row>
    <row r="68" spans="2:10" ht="13.5">
      <c r="B68" s="65" t="s">
        <v>70</v>
      </c>
      <c r="C68" s="66" t="s">
        <v>61</v>
      </c>
      <c r="D68" s="101" t="s">
        <v>71</v>
      </c>
      <c r="F68" s="71" t="s">
        <v>72</v>
      </c>
      <c r="G68" s="97"/>
      <c r="H68" s="98"/>
      <c r="I68" s="72"/>
      <c r="J68" s="41"/>
    </row>
    <row r="69" spans="2:9" ht="13.5">
      <c r="B69" s="46"/>
      <c r="C69" s="48" t="s">
        <v>63</v>
      </c>
      <c r="D69" s="102" t="s">
        <v>71</v>
      </c>
      <c r="H69" s="90"/>
      <c r="I69" s="90"/>
    </row>
    <row r="70" spans="2:9" ht="13.5">
      <c r="B70" s="46"/>
      <c r="C70" s="48" t="s">
        <v>64</v>
      </c>
      <c r="D70" s="102" t="s">
        <v>71</v>
      </c>
      <c r="H70" s="90"/>
      <c r="I70" s="90"/>
    </row>
    <row r="71" spans="2:8" ht="13.5">
      <c r="B71" s="46"/>
      <c r="C71" s="48" t="s">
        <v>65</v>
      </c>
      <c r="D71" s="102" t="s">
        <v>71</v>
      </c>
      <c r="H71" s="90"/>
    </row>
    <row r="72" spans="2:8" ht="13.5">
      <c r="B72" s="46"/>
      <c r="C72" s="48" t="s">
        <v>66</v>
      </c>
      <c r="D72" s="102" t="s">
        <v>71</v>
      </c>
      <c r="H72" s="90"/>
    </row>
    <row r="73" spans="2:8" ht="13.5">
      <c r="B73" s="46"/>
      <c r="C73" s="48" t="s">
        <v>67</v>
      </c>
      <c r="D73" s="102" t="s">
        <v>71</v>
      </c>
      <c r="H73" s="90"/>
    </row>
    <row r="74" spans="2:8" ht="13.5">
      <c r="B74" s="46"/>
      <c r="C74" s="48" t="s">
        <v>68</v>
      </c>
      <c r="D74" s="102" t="s">
        <v>71</v>
      </c>
      <c r="H74" s="90"/>
    </row>
    <row r="75" spans="2:4" ht="13.5">
      <c r="B75" s="46"/>
      <c r="C75" s="48" t="s">
        <v>69</v>
      </c>
      <c r="D75" s="102" t="s">
        <v>71</v>
      </c>
    </row>
    <row r="76" spans="2:4" s="3" customFormat="1" ht="13.5">
      <c r="B76" s="45"/>
      <c r="C76" s="73"/>
      <c r="D76" s="67"/>
    </row>
    <row r="77" spans="2:14" ht="13.5" thickBot="1">
      <c r="B77" s="64"/>
      <c r="C77" s="64"/>
      <c r="D77" s="64"/>
      <c r="E77" s="64"/>
      <c r="F77" s="64"/>
      <c r="G77" s="64"/>
      <c r="H77" s="64"/>
      <c r="I77" s="64"/>
      <c r="J77" s="64"/>
      <c r="K77" s="64"/>
      <c r="L77" s="64"/>
      <c r="M77" s="64"/>
      <c r="N77" s="64"/>
    </row>
    <row r="78" spans="2:10" ht="13.5">
      <c r="B78" s="65" t="s">
        <v>73</v>
      </c>
      <c r="C78" s="66" t="s">
        <v>61</v>
      </c>
      <c r="D78" s="102" t="s">
        <v>74</v>
      </c>
      <c r="E78" s="3"/>
      <c r="F78" s="71" t="s">
        <v>75</v>
      </c>
      <c r="G78" s="97"/>
      <c r="H78" s="98"/>
      <c r="I78" s="72"/>
      <c r="J78" s="41"/>
    </row>
    <row r="79" spans="2:5" ht="13.5">
      <c r="B79" s="46"/>
      <c r="C79" s="48" t="s">
        <v>63</v>
      </c>
      <c r="D79" s="102" t="s">
        <v>74</v>
      </c>
      <c r="E79" s="3"/>
    </row>
    <row r="80" spans="2:5" ht="13.5">
      <c r="B80" s="46"/>
      <c r="C80" s="48" t="s">
        <v>64</v>
      </c>
      <c r="D80" s="102" t="s">
        <v>74</v>
      </c>
      <c r="E80" s="3"/>
    </row>
    <row r="81" spans="2:5" ht="13.5">
      <c r="B81" s="46"/>
      <c r="C81" s="48" t="s">
        <v>65</v>
      </c>
      <c r="D81" s="102" t="s">
        <v>74</v>
      </c>
      <c r="E81" s="3"/>
    </row>
    <row r="82" spans="2:5" ht="13.5">
      <c r="B82" s="46"/>
      <c r="C82" s="48" t="s">
        <v>66</v>
      </c>
      <c r="D82" s="102" t="s">
        <v>74</v>
      </c>
      <c r="E82" s="3"/>
    </row>
    <row r="83" spans="2:5" ht="13.5">
      <c r="B83" s="46"/>
      <c r="C83" s="48" t="s">
        <v>67</v>
      </c>
      <c r="D83" s="102" t="s">
        <v>74</v>
      </c>
      <c r="E83" s="3"/>
    </row>
    <row r="84" spans="2:5" ht="13.5">
      <c r="B84" s="46"/>
      <c r="C84" s="48" t="s">
        <v>68</v>
      </c>
      <c r="D84" s="102" t="s">
        <v>74</v>
      </c>
      <c r="E84" s="3"/>
    </row>
    <row r="85" spans="2:10" ht="13.5">
      <c r="B85" s="46"/>
      <c r="C85" s="48" t="s">
        <v>69</v>
      </c>
      <c r="D85" s="102" t="s">
        <v>74</v>
      </c>
      <c r="E85" s="3"/>
      <c r="F85" s="54" t="s">
        <v>76</v>
      </c>
      <c r="G85" s="97"/>
      <c r="H85" s="98"/>
      <c r="I85" s="72"/>
      <c r="J85" s="41"/>
    </row>
    <row r="86" spans="2:4" s="3" customFormat="1" ht="13.5">
      <c r="B86" s="45"/>
      <c r="C86" s="73"/>
      <c r="D86" s="67"/>
    </row>
    <row r="87" spans="2:14" ht="13.5" thickBot="1">
      <c r="B87" s="64"/>
      <c r="C87" s="64"/>
      <c r="D87" s="64"/>
      <c r="E87" s="64"/>
      <c r="F87" s="64"/>
      <c r="G87" s="64"/>
      <c r="H87" s="64"/>
      <c r="I87" s="64"/>
      <c r="J87" s="64"/>
      <c r="K87" s="64"/>
      <c r="L87" s="64"/>
      <c r="M87" s="64"/>
      <c r="N87" s="64"/>
    </row>
    <row r="88" spans="2:11" ht="13.5">
      <c r="B88" s="65" t="s">
        <v>77</v>
      </c>
      <c r="C88" s="66" t="s">
        <v>78</v>
      </c>
      <c r="D88" s="103" t="s">
        <v>79</v>
      </c>
      <c r="F88" s="71" t="s">
        <v>80</v>
      </c>
      <c r="G88" s="41"/>
      <c r="H88" s="41"/>
      <c r="I88" s="41"/>
      <c r="J88" s="41"/>
      <c r="K88" s="41"/>
    </row>
    <row r="89" spans="2:11" ht="13.5">
      <c r="B89" s="46"/>
      <c r="C89" s="104" t="s">
        <v>81</v>
      </c>
      <c r="D89" s="105">
        <v>4</v>
      </c>
      <c r="E89" s="106" t="s">
        <v>82</v>
      </c>
      <c r="F89" s="79" t="s">
        <v>83</v>
      </c>
      <c r="G89" s="41"/>
      <c r="H89" s="41"/>
      <c r="I89" s="41"/>
      <c r="J89" s="41"/>
      <c r="K89" s="41"/>
    </row>
    <row r="90" spans="2:5" ht="14.25" thickBot="1">
      <c r="B90" s="46"/>
      <c r="C90" s="48" t="s">
        <v>84</v>
      </c>
      <c r="D90" s="105">
        <v>4</v>
      </c>
      <c r="E90" s="106" t="s">
        <v>82</v>
      </c>
    </row>
    <row r="91" spans="2:11" ht="14.25" thickBot="1">
      <c r="B91" s="46"/>
      <c r="C91" s="48" t="s">
        <v>85</v>
      </c>
      <c r="D91" s="105">
        <v>4</v>
      </c>
      <c r="E91" s="106" t="s">
        <v>82</v>
      </c>
      <c r="F91" s="107" t="s">
        <v>86</v>
      </c>
      <c r="G91" s="108"/>
      <c r="H91" s="108"/>
      <c r="I91" s="108"/>
      <c r="J91" s="108"/>
      <c r="K91" s="108"/>
    </row>
    <row r="92" spans="2:11" ht="13.5">
      <c r="B92" s="46"/>
      <c r="C92" s="48" t="s">
        <v>87</v>
      </c>
      <c r="D92" s="105">
        <v>4</v>
      </c>
      <c r="E92" s="106" t="s">
        <v>82</v>
      </c>
      <c r="F92" s="109" t="s">
        <v>88</v>
      </c>
      <c r="G92" s="110"/>
      <c r="H92" s="110"/>
      <c r="I92" s="110"/>
      <c r="J92" s="110"/>
      <c r="K92" s="110"/>
    </row>
    <row r="93" spans="2:6" s="3" customFormat="1" ht="13.5">
      <c r="B93" s="45"/>
      <c r="C93" s="73"/>
      <c r="D93" s="111"/>
      <c r="F93" s="30"/>
    </row>
    <row r="94" spans="2:14" ht="13.5" thickBot="1">
      <c r="B94" s="64"/>
      <c r="C94" s="64"/>
      <c r="D94" s="64"/>
      <c r="E94" s="64"/>
      <c r="G94" s="64"/>
      <c r="H94" s="64"/>
      <c r="I94" s="64"/>
      <c r="J94" s="64"/>
      <c r="K94" s="64"/>
      <c r="L94" s="64"/>
      <c r="M94" s="64"/>
      <c r="N94" s="64"/>
    </row>
    <row r="95" spans="2:13" ht="13.5">
      <c r="B95" s="65" t="s">
        <v>89</v>
      </c>
      <c r="C95" s="66" t="s">
        <v>90</v>
      </c>
      <c r="D95" s="102" t="s">
        <v>91</v>
      </c>
      <c r="F95" s="112" t="s">
        <v>92</v>
      </c>
      <c r="G95" s="41"/>
      <c r="H95" s="41"/>
      <c r="I95" s="41"/>
      <c r="J95" s="41"/>
      <c r="K95" s="41"/>
      <c r="L95" s="41"/>
      <c r="M95" s="41"/>
    </row>
    <row r="96" spans="2:13" ht="13.5">
      <c r="B96" s="46"/>
      <c r="C96" s="48" t="s">
        <v>93</v>
      </c>
      <c r="D96" s="113" t="s">
        <v>94</v>
      </c>
      <c r="F96" s="114"/>
      <c r="G96" s="88"/>
      <c r="H96" s="88"/>
      <c r="I96" s="88"/>
      <c r="J96" s="88"/>
      <c r="K96" s="88"/>
      <c r="L96" s="88"/>
      <c r="M96" s="88"/>
    </row>
    <row r="97" spans="2:13" ht="14.25" thickBot="1">
      <c r="B97" s="46"/>
      <c r="C97" s="48" t="s">
        <v>50</v>
      </c>
      <c r="D97" s="105" t="s">
        <v>102</v>
      </c>
      <c r="F97" s="92" t="s">
        <v>95</v>
      </c>
      <c r="G97" s="53"/>
      <c r="H97" s="53"/>
      <c r="I97" s="53"/>
      <c r="J97" s="53"/>
      <c r="K97" s="53"/>
      <c r="L97" s="53"/>
      <c r="M97" s="53"/>
    </row>
    <row r="98" spans="2:13" ht="13.5">
      <c r="B98" s="46"/>
      <c r="C98" s="48" t="s">
        <v>96</v>
      </c>
      <c r="D98" s="105" t="s">
        <v>396</v>
      </c>
      <c r="F98" s="115" t="s">
        <v>98</v>
      </c>
      <c r="G98" s="110"/>
      <c r="H98" s="110"/>
      <c r="I98" s="110"/>
      <c r="J98" s="110"/>
      <c r="K98" s="110"/>
      <c r="L98" s="110"/>
      <c r="M98" s="110"/>
    </row>
    <row r="99" spans="2:13" s="3" customFormat="1" ht="13.5">
      <c r="B99" s="45"/>
      <c r="C99" s="73"/>
      <c r="D99" s="111"/>
      <c r="F99" s="54" t="s">
        <v>99</v>
      </c>
      <c r="G99" s="41"/>
      <c r="H99" s="41"/>
      <c r="I99" s="41"/>
      <c r="J99" s="41"/>
      <c r="K99" s="41"/>
      <c r="L99" s="41"/>
      <c r="M99" s="41"/>
    </row>
    <row r="100" spans="2:4" s="3" customFormat="1" ht="13.5">
      <c r="B100" s="45"/>
      <c r="C100" s="73"/>
      <c r="D100" s="111"/>
    </row>
    <row r="101" spans="2:14" ht="13.5" thickBot="1">
      <c r="B101" s="64"/>
      <c r="C101" s="64"/>
      <c r="D101" s="64"/>
      <c r="E101" s="64"/>
      <c r="G101" s="64"/>
      <c r="H101" s="64"/>
      <c r="I101" s="64"/>
      <c r="J101" s="64"/>
      <c r="K101" s="64"/>
      <c r="L101" s="64"/>
      <c r="M101" s="64"/>
      <c r="N101" s="64"/>
    </row>
    <row r="102" spans="2:13" ht="13.5">
      <c r="B102" s="65" t="s">
        <v>100</v>
      </c>
      <c r="C102" s="66" t="s">
        <v>90</v>
      </c>
      <c r="D102" s="102" t="s">
        <v>91</v>
      </c>
      <c r="F102" s="112" t="s">
        <v>101</v>
      </c>
      <c r="G102" s="41"/>
      <c r="H102" s="41"/>
      <c r="I102" s="41"/>
      <c r="J102" s="41"/>
      <c r="K102" s="41"/>
      <c r="L102" s="41"/>
      <c r="M102" s="41"/>
    </row>
    <row r="103" spans="2:6" ht="13.5">
      <c r="B103" s="46"/>
      <c r="C103" s="48" t="s">
        <v>93</v>
      </c>
      <c r="D103" s="113" t="s">
        <v>94</v>
      </c>
      <c r="F103" s="14"/>
    </row>
    <row r="104" spans="2:13" ht="13.5">
      <c r="B104" s="46"/>
      <c r="C104" s="48" t="s">
        <v>50</v>
      </c>
      <c r="D104" s="105" t="s">
        <v>53</v>
      </c>
      <c r="F104" s="92" t="s">
        <v>103</v>
      </c>
      <c r="G104" s="41"/>
      <c r="H104" s="41"/>
      <c r="I104" s="41"/>
      <c r="J104" s="41"/>
      <c r="K104" s="41"/>
      <c r="L104" s="41"/>
      <c r="M104" s="41"/>
    </row>
    <row r="105" spans="2:4" ht="13.5">
      <c r="B105" s="46"/>
      <c r="C105" s="48" t="s">
        <v>96</v>
      </c>
      <c r="D105" s="105" t="s">
        <v>104</v>
      </c>
    </row>
    <row r="106" spans="2:4" s="3" customFormat="1" ht="13.5">
      <c r="B106" s="45"/>
      <c r="C106" s="73"/>
      <c r="D106" s="111"/>
    </row>
    <row r="107" spans="2:14" s="3" customFormat="1" ht="14.25" thickBot="1">
      <c r="B107" s="116"/>
      <c r="C107" s="117"/>
      <c r="D107" s="117"/>
      <c r="E107" s="117"/>
      <c r="F107" s="118"/>
      <c r="G107" s="118"/>
      <c r="H107" s="118"/>
      <c r="I107" s="118"/>
      <c r="J107" s="118"/>
      <c r="K107" s="118"/>
      <c r="L107" s="118"/>
      <c r="M107" s="118"/>
      <c r="N107" s="118"/>
    </row>
    <row r="108" spans="2:11" s="3" customFormat="1" ht="13.5">
      <c r="B108" s="119" t="s">
        <v>105</v>
      </c>
      <c r="C108" s="120" t="s">
        <v>61</v>
      </c>
      <c r="D108" s="121" t="s">
        <v>106</v>
      </c>
      <c r="E108" s="122" t="s">
        <v>107</v>
      </c>
      <c r="F108" s="292" t="s">
        <v>108</v>
      </c>
      <c r="G108" s="293"/>
      <c r="H108" s="293"/>
      <c r="I108" s="293"/>
      <c r="J108" s="293"/>
      <c r="K108" s="293"/>
    </row>
    <row r="109" spans="2:5" s="3" customFormat="1" ht="14.25" thickBot="1">
      <c r="B109" s="45"/>
      <c r="C109" s="123" t="s">
        <v>63</v>
      </c>
      <c r="D109" s="124" t="s">
        <v>106</v>
      </c>
      <c r="E109" s="125" t="s">
        <v>107</v>
      </c>
    </row>
    <row r="110" spans="2:11" s="3" customFormat="1" ht="13.5">
      <c r="B110" s="45"/>
      <c r="C110" s="123" t="s">
        <v>64</v>
      </c>
      <c r="D110" s="124" t="s">
        <v>106</v>
      </c>
      <c r="E110" s="125" t="s">
        <v>107</v>
      </c>
      <c r="F110" s="332" t="s">
        <v>109</v>
      </c>
      <c r="G110" s="333"/>
      <c r="H110" s="333"/>
      <c r="I110" s="333"/>
      <c r="J110" s="110"/>
      <c r="K110" s="110"/>
    </row>
    <row r="111" spans="2:11" s="3" customFormat="1" ht="14.25" thickBot="1">
      <c r="B111" s="45"/>
      <c r="C111" s="123" t="s">
        <v>65</v>
      </c>
      <c r="D111" s="124" t="s">
        <v>106</v>
      </c>
      <c r="E111" s="125" t="s">
        <v>107</v>
      </c>
      <c r="F111" s="79" t="s">
        <v>110</v>
      </c>
      <c r="G111" s="41"/>
      <c r="H111" s="41"/>
      <c r="I111" s="41"/>
      <c r="J111" s="41"/>
      <c r="K111" s="41"/>
    </row>
    <row r="112" spans="2:11" s="3" customFormat="1" ht="13.5">
      <c r="B112" s="45"/>
      <c r="C112" s="123" t="s">
        <v>66</v>
      </c>
      <c r="D112" s="124" t="s">
        <v>106</v>
      </c>
      <c r="E112" s="125" t="s">
        <v>107</v>
      </c>
      <c r="F112" s="109" t="s">
        <v>111</v>
      </c>
      <c r="G112" s="110"/>
      <c r="H112" s="110"/>
      <c r="I112" s="110"/>
      <c r="J112" s="110"/>
      <c r="K112" s="110"/>
    </row>
    <row r="113" spans="2:11" s="3" customFormat="1" ht="13.5">
      <c r="B113" s="45"/>
      <c r="C113" s="123" t="s">
        <v>67</v>
      </c>
      <c r="D113" s="124" t="s">
        <v>106</v>
      </c>
      <c r="E113" s="125" t="s">
        <v>107</v>
      </c>
      <c r="F113" s="79" t="s">
        <v>112</v>
      </c>
      <c r="G113" s="41"/>
      <c r="H113" s="41"/>
      <c r="I113" s="41"/>
      <c r="J113" s="41"/>
      <c r="K113" s="41"/>
    </row>
    <row r="114" spans="2:5" s="3" customFormat="1" ht="13.5">
      <c r="B114" s="45"/>
      <c r="C114" s="123" t="s">
        <v>68</v>
      </c>
      <c r="D114" s="124" t="s">
        <v>106</v>
      </c>
      <c r="E114" s="125" t="s">
        <v>107</v>
      </c>
    </row>
    <row r="115" spans="2:5" s="3" customFormat="1" ht="13.5">
      <c r="B115" s="45"/>
      <c r="C115" s="123" t="s">
        <v>69</v>
      </c>
      <c r="D115" s="124" t="s">
        <v>106</v>
      </c>
      <c r="E115" s="125" t="s">
        <v>107</v>
      </c>
    </row>
    <row r="116" spans="2:4" s="3" customFormat="1" ht="13.5">
      <c r="B116" s="45"/>
      <c r="C116" s="73"/>
      <c r="D116" s="111"/>
    </row>
    <row r="117" spans="2:14" ht="13.5" thickBot="1">
      <c r="B117" s="64"/>
      <c r="C117" s="64"/>
      <c r="D117" s="64"/>
      <c r="E117" s="64"/>
      <c r="F117" s="64"/>
      <c r="G117" s="64"/>
      <c r="H117" s="64"/>
      <c r="I117" s="64"/>
      <c r="J117" s="64"/>
      <c r="K117" s="64"/>
      <c r="L117" s="64"/>
      <c r="M117" s="64"/>
      <c r="N117" s="64"/>
    </row>
    <row r="118" spans="2:11" ht="13.5">
      <c r="B118" s="65" t="s">
        <v>113</v>
      </c>
      <c r="C118" s="66" t="s">
        <v>114</v>
      </c>
      <c r="D118" s="102" t="s">
        <v>115</v>
      </c>
      <c r="F118" s="292" t="s">
        <v>116</v>
      </c>
      <c r="G118" s="293"/>
      <c r="H118" s="293"/>
      <c r="I118" s="293"/>
      <c r="J118" s="293"/>
      <c r="K118" s="293"/>
    </row>
    <row r="119" spans="2:4" ht="13.5">
      <c r="B119" s="46"/>
      <c r="C119" s="48" t="s">
        <v>117</v>
      </c>
      <c r="D119" s="102" t="s">
        <v>118</v>
      </c>
    </row>
    <row r="120" spans="2:4" ht="13.5">
      <c r="B120" s="46"/>
      <c r="C120" s="48" t="s">
        <v>119</v>
      </c>
      <c r="D120" s="102" t="s">
        <v>420</v>
      </c>
    </row>
    <row r="121" spans="2:4" ht="13.5">
      <c r="B121" s="46"/>
      <c r="C121" s="48" t="s">
        <v>121</v>
      </c>
      <c r="D121" s="102" t="s">
        <v>425</v>
      </c>
    </row>
    <row r="122" spans="2:11" s="3" customFormat="1" ht="13.5">
      <c r="B122" s="45"/>
      <c r="C122" s="123" t="s">
        <v>122</v>
      </c>
      <c r="D122" s="126" t="s">
        <v>123</v>
      </c>
      <c r="F122" s="79" t="s">
        <v>124</v>
      </c>
      <c r="G122" s="41"/>
      <c r="H122" s="41"/>
      <c r="I122" s="41"/>
      <c r="J122" s="41"/>
      <c r="K122" s="41"/>
    </row>
    <row r="123" spans="2:11" s="3" customFormat="1" ht="13.5">
      <c r="B123" s="45"/>
      <c r="C123" s="123" t="s">
        <v>125</v>
      </c>
      <c r="D123" s="121" t="s">
        <v>126</v>
      </c>
      <c r="F123" s="79" t="s">
        <v>127</v>
      </c>
      <c r="G123" s="41"/>
      <c r="H123" s="41"/>
      <c r="I123" s="41"/>
      <c r="J123" s="41"/>
      <c r="K123" s="41"/>
    </row>
    <row r="124" spans="2:4" s="3" customFormat="1" ht="13.5">
      <c r="B124" s="45"/>
      <c r="C124" s="73"/>
      <c r="D124" s="127"/>
    </row>
    <row r="125" spans="2:14" ht="13.5" thickBot="1">
      <c r="B125" s="64"/>
      <c r="C125" s="64"/>
      <c r="D125" s="64"/>
      <c r="E125" s="64"/>
      <c r="F125" s="64"/>
      <c r="G125" s="64"/>
      <c r="H125" s="64"/>
      <c r="I125" s="64"/>
      <c r="J125" s="64"/>
      <c r="K125" s="64"/>
      <c r="L125" s="64"/>
      <c r="M125" s="64"/>
      <c r="N125" s="64"/>
    </row>
    <row r="126" spans="2:11" ht="14.25" thickBot="1">
      <c r="B126" s="65" t="s">
        <v>128</v>
      </c>
      <c r="C126" s="66" t="s">
        <v>78</v>
      </c>
      <c r="D126" s="270" t="s">
        <v>79</v>
      </c>
      <c r="F126" s="128" t="s">
        <v>129</v>
      </c>
      <c r="G126" s="53"/>
      <c r="H126" s="53"/>
      <c r="I126" s="53"/>
      <c r="J126" s="53"/>
      <c r="K126" s="53"/>
    </row>
    <row r="127" spans="2:11" ht="13.5">
      <c r="B127" s="46"/>
      <c r="C127" s="48" t="s">
        <v>130</v>
      </c>
      <c r="D127" s="105" t="s">
        <v>131</v>
      </c>
      <c r="F127" s="79" t="s">
        <v>132</v>
      </c>
      <c r="G127" s="41"/>
      <c r="H127" s="41"/>
      <c r="I127" s="41"/>
      <c r="J127" s="41"/>
      <c r="K127" s="41"/>
    </row>
    <row r="128" spans="2:4" ht="13.5">
      <c r="B128" s="46"/>
      <c r="C128" s="48" t="s">
        <v>133</v>
      </c>
      <c r="D128" s="129" t="s">
        <v>134</v>
      </c>
    </row>
    <row r="129" spans="2:11" ht="14.25" thickBot="1">
      <c r="B129" s="46"/>
      <c r="C129" s="48" t="s">
        <v>135</v>
      </c>
      <c r="D129" s="105" t="s">
        <v>136</v>
      </c>
      <c r="F129" s="128" t="s">
        <v>137</v>
      </c>
      <c r="G129" s="53"/>
      <c r="H129" s="53"/>
      <c r="I129" s="53"/>
      <c r="J129" s="53"/>
      <c r="K129" s="53"/>
    </row>
    <row r="130" spans="2:11" ht="13.5">
      <c r="B130" s="46"/>
      <c r="C130" s="48" t="s">
        <v>138</v>
      </c>
      <c r="D130" s="130" t="s">
        <v>139</v>
      </c>
      <c r="F130" s="79" t="s">
        <v>140</v>
      </c>
      <c r="G130" s="41"/>
      <c r="H130" s="41"/>
      <c r="I130" s="41"/>
      <c r="J130" s="41"/>
      <c r="K130" s="41"/>
    </row>
    <row r="131" spans="2:6" s="3" customFormat="1" ht="13.5">
      <c r="B131" s="45"/>
      <c r="C131" s="73"/>
      <c r="D131" s="111"/>
      <c r="F131" s="30"/>
    </row>
    <row r="132" spans="2:14" ht="13.5" thickBot="1">
      <c r="B132" s="64"/>
      <c r="C132" s="64"/>
      <c r="D132" s="64"/>
      <c r="E132" s="64"/>
      <c r="F132" s="64"/>
      <c r="G132" s="64"/>
      <c r="H132" s="64"/>
      <c r="I132" s="64"/>
      <c r="J132" s="64"/>
      <c r="K132" s="64"/>
      <c r="L132" s="64"/>
      <c r="M132" s="64"/>
      <c r="N132" s="64"/>
    </row>
    <row r="133" spans="2:5" ht="14.25" thickBot="1">
      <c r="B133" s="65" t="s">
        <v>141</v>
      </c>
      <c r="C133" s="131"/>
      <c r="D133" s="103" t="str">
        <f>"&lt;1&gt;"</f>
        <v>&lt;1&gt;</v>
      </c>
      <c r="E133" s="131" t="str">
        <f>"&lt;2&gt;"</f>
        <v>&lt;2&gt;</v>
      </c>
    </row>
    <row r="134" spans="2:11" ht="14.25" thickBot="1">
      <c r="B134" s="46"/>
      <c r="C134" s="48" t="s">
        <v>142</v>
      </c>
      <c r="D134" s="132">
        <v>0.4166666666666667</v>
      </c>
      <c r="E134" s="132">
        <v>0.4166666666666667</v>
      </c>
      <c r="F134" s="133" t="s">
        <v>143</v>
      </c>
      <c r="G134" s="134"/>
      <c r="H134" s="134"/>
      <c r="I134" s="134"/>
      <c r="J134" s="134"/>
      <c r="K134" s="134"/>
    </row>
    <row r="135" spans="2:11" ht="14.25" thickBot="1">
      <c r="B135" s="46"/>
      <c r="C135" s="48" t="s">
        <v>144</v>
      </c>
      <c r="D135" s="135" t="s">
        <v>145</v>
      </c>
      <c r="E135" s="135" t="s">
        <v>146</v>
      </c>
      <c r="F135" s="136" t="s">
        <v>147</v>
      </c>
      <c r="G135" s="110"/>
      <c r="H135" s="110"/>
      <c r="I135" s="110"/>
      <c r="J135" s="110"/>
      <c r="K135" s="110"/>
    </row>
    <row r="136" spans="2:11" ht="14.25" thickBot="1">
      <c r="B136" s="46"/>
      <c r="C136" s="48" t="s">
        <v>50</v>
      </c>
      <c r="D136" s="135" t="s">
        <v>53</v>
      </c>
      <c r="E136" s="135" t="s">
        <v>53</v>
      </c>
      <c r="F136" s="136" t="s">
        <v>148</v>
      </c>
      <c r="G136" s="110"/>
      <c r="H136" s="110"/>
      <c r="I136" s="110"/>
      <c r="J136" s="110"/>
      <c r="K136" s="110"/>
    </row>
    <row r="137" spans="2:11" ht="13.5">
      <c r="B137" s="46"/>
      <c r="C137" s="48" t="s">
        <v>96</v>
      </c>
      <c r="D137" s="135" t="s">
        <v>97</v>
      </c>
      <c r="E137" s="135" t="s">
        <v>97</v>
      </c>
      <c r="F137" s="136" t="s">
        <v>149</v>
      </c>
      <c r="G137" s="110"/>
      <c r="H137" s="110"/>
      <c r="I137" s="110"/>
      <c r="J137" s="110"/>
      <c r="K137" s="110"/>
    </row>
    <row r="138" spans="2:5" s="3" customFormat="1" ht="13.5">
      <c r="B138" s="45"/>
      <c r="C138" s="73"/>
      <c r="D138" s="45"/>
      <c r="E138" s="45"/>
    </row>
    <row r="139" spans="2:14" ht="13.5" thickBot="1">
      <c r="B139" s="64"/>
      <c r="C139" s="64"/>
      <c r="D139" s="64"/>
      <c r="E139" s="64"/>
      <c r="F139" s="64"/>
      <c r="G139" s="64"/>
      <c r="H139" s="64"/>
      <c r="I139" s="64"/>
      <c r="J139" s="64"/>
      <c r="K139" s="64"/>
      <c r="L139" s="64"/>
      <c r="M139" s="64"/>
      <c r="N139" s="64"/>
    </row>
    <row r="140" spans="2:12" ht="14.25" thickBot="1">
      <c r="B140" s="65" t="s">
        <v>150</v>
      </c>
      <c r="C140" s="66" t="s">
        <v>61</v>
      </c>
      <c r="D140" s="137" t="s">
        <v>151</v>
      </c>
      <c r="F140" s="128" t="s">
        <v>152</v>
      </c>
      <c r="G140" s="53"/>
      <c r="H140" s="53"/>
      <c r="I140" s="53"/>
      <c r="J140" s="53"/>
      <c r="K140" s="53"/>
      <c r="L140" s="62"/>
    </row>
    <row r="141" spans="2:12" ht="14.25" thickBot="1">
      <c r="B141" s="46"/>
      <c r="C141" s="48" t="s">
        <v>63</v>
      </c>
      <c r="D141" s="135" t="s">
        <v>151</v>
      </c>
      <c r="F141" s="136" t="s">
        <v>153</v>
      </c>
      <c r="G141" s="136"/>
      <c r="H141" s="136"/>
      <c r="I141" s="136"/>
      <c r="J141" s="136"/>
      <c r="K141" s="136"/>
      <c r="L141" s="29"/>
    </row>
    <row r="142" spans="2:12" ht="13.5" customHeight="1">
      <c r="B142" s="138" t="s">
        <v>91</v>
      </c>
      <c r="C142" s="48" t="s">
        <v>64</v>
      </c>
      <c r="D142" s="135" t="s">
        <v>151</v>
      </c>
      <c r="F142" s="136" t="s">
        <v>154</v>
      </c>
      <c r="G142" s="136"/>
      <c r="H142" s="136"/>
      <c r="I142" s="136"/>
      <c r="J142" s="136"/>
      <c r="K142" s="136"/>
      <c r="L142" s="29"/>
    </row>
    <row r="143" spans="2:12" ht="13.5">
      <c r="B143" s="92" t="s">
        <v>155</v>
      </c>
      <c r="C143" s="48" t="s">
        <v>65</v>
      </c>
      <c r="D143" s="135" t="s">
        <v>151</v>
      </c>
      <c r="F143" s="79" t="s">
        <v>156</v>
      </c>
      <c r="G143" s="41"/>
      <c r="H143" s="41"/>
      <c r="I143" s="41"/>
      <c r="J143" s="41"/>
      <c r="K143" s="41"/>
      <c r="L143" s="62"/>
    </row>
    <row r="144" spans="2:12" ht="13.5">
      <c r="B144" s="92" t="s">
        <v>157</v>
      </c>
      <c r="C144" s="48" t="s">
        <v>66</v>
      </c>
      <c r="D144" s="135" t="s">
        <v>158</v>
      </c>
      <c r="F144" s="79" t="s">
        <v>159</v>
      </c>
      <c r="G144" s="41"/>
      <c r="H144" s="41"/>
      <c r="I144" s="41"/>
      <c r="J144" s="41"/>
      <c r="K144" s="41"/>
      <c r="L144" s="62"/>
    </row>
    <row r="145" spans="2:12" ht="13.5">
      <c r="B145" s="92" t="s">
        <v>160</v>
      </c>
      <c r="C145" s="48" t="s">
        <v>67</v>
      </c>
      <c r="D145" s="135" t="s">
        <v>158</v>
      </c>
      <c r="F145" s="79" t="s">
        <v>161</v>
      </c>
      <c r="G145" s="41"/>
      <c r="H145" s="41"/>
      <c r="I145" s="41"/>
      <c r="J145" s="41"/>
      <c r="K145" s="41"/>
      <c r="L145" s="62"/>
    </row>
    <row r="146" spans="2:12" ht="13.5">
      <c r="B146" s="92" t="s">
        <v>162</v>
      </c>
      <c r="C146" s="48" t="s">
        <v>68</v>
      </c>
      <c r="D146" s="135" t="s">
        <v>158</v>
      </c>
      <c r="F146" s="75" t="s">
        <v>163</v>
      </c>
      <c r="G146" s="41"/>
      <c r="H146" s="41"/>
      <c r="I146" s="41"/>
      <c r="J146" s="41"/>
      <c r="K146" s="41"/>
      <c r="L146" s="62"/>
    </row>
    <row r="147" spans="2:12" ht="13.5">
      <c r="B147" s="92" t="s">
        <v>164</v>
      </c>
      <c r="C147" s="48" t="s">
        <v>69</v>
      </c>
      <c r="D147" s="135" t="s">
        <v>158</v>
      </c>
      <c r="F147" s="79" t="s">
        <v>165</v>
      </c>
      <c r="G147" s="41"/>
      <c r="H147" s="41"/>
      <c r="I147" s="41"/>
      <c r="J147" s="41"/>
      <c r="K147" s="41"/>
      <c r="L147" s="62"/>
    </row>
    <row r="148" spans="2:4" s="3" customFormat="1" ht="13.5">
      <c r="B148" s="30"/>
      <c r="C148" s="73"/>
      <c r="D148" s="45"/>
    </row>
    <row r="150" spans="2:12" ht="13.5">
      <c r="B150" s="42" t="s">
        <v>166</v>
      </c>
      <c r="C150" s="43"/>
      <c r="D150" s="43"/>
      <c r="E150" s="43"/>
      <c r="F150" s="43"/>
      <c r="G150" s="43"/>
      <c r="H150" s="43"/>
      <c r="I150" s="43"/>
      <c r="J150" s="43"/>
      <c r="K150" s="43"/>
      <c r="L150" s="8"/>
    </row>
    <row r="151" spans="2:11" s="3" customFormat="1" ht="13.5">
      <c r="B151" s="44"/>
      <c r="C151" s="45"/>
      <c r="D151" s="45"/>
      <c r="E151" s="45"/>
      <c r="F151" s="45"/>
      <c r="G151" s="45"/>
      <c r="H151" s="45"/>
      <c r="I151" s="45"/>
      <c r="J151" s="45"/>
      <c r="K151" s="45"/>
    </row>
    <row r="152" ht="12.75">
      <c r="B152" s="3"/>
    </row>
    <row r="153" spans="2:14" ht="13.5">
      <c r="B153" s="46"/>
      <c r="C153" s="65" t="s">
        <v>167</v>
      </c>
      <c r="D153" s="65"/>
      <c r="E153" s="65"/>
      <c r="F153" s="139"/>
      <c r="G153" s="65" t="s">
        <v>168</v>
      </c>
      <c r="H153" s="65"/>
      <c r="I153" s="65"/>
      <c r="J153" s="139"/>
      <c r="M153" s="88"/>
      <c r="N153" s="88"/>
    </row>
    <row r="154" spans="2:16" ht="14.25" thickBot="1">
      <c r="B154" s="48" t="str">
        <f>"1/2"</f>
        <v>1/2</v>
      </c>
      <c r="C154" s="73"/>
      <c r="D154" s="45" t="str">
        <f>"("&amp;D159&amp;")"</f>
        <v>(INH)</v>
      </c>
      <c r="E154" s="45"/>
      <c r="F154" s="68" t="str">
        <f>"1/2"</f>
        <v>1/2</v>
      </c>
      <c r="G154" s="3"/>
      <c r="H154" s="45" t="str">
        <f>"("&amp;H159&amp;")"</f>
        <v>(INH)</v>
      </c>
      <c r="I154" s="45"/>
      <c r="J154" s="139"/>
      <c r="K154" s="140" t="s">
        <v>169</v>
      </c>
      <c r="L154" s="53"/>
      <c r="M154" s="53"/>
      <c r="N154" s="53"/>
      <c r="O154" s="53"/>
      <c r="P154" s="53"/>
    </row>
    <row r="155" spans="2:10" ht="13.5">
      <c r="B155" s="46"/>
      <c r="C155" s="73"/>
      <c r="D155" s="45" t="str">
        <f>"("&amp;D160&amp;"-&gt;"&amp;D161&amp;")"</f>
        <v>(AILE-&gt;RUDD)</v>
      </c>
      <c r="E155" s="45"/>
      <c r="F155" s="141"/>
      <c r="G155" s="3"/>
      <c r="H155" s="45" t="str">
        <f>"("&amp;H160&amp;"-&gt;"&amp;H161&amp;")"</f>
        <v>(ELEV-&gt;FLAP)</v>
      </c>
      <c r="I155" s="45"/>
      <c r="J155" s="139"/>
    </row>
    <row r="156" spans="2:16" ht="14.25" thickBot="1">
      <c r="B156" s="46"/>
      <c r="C156" s="73" t="s">
        <v>93</v>
      </c>
      <c r="D156" s="142" t="s">
        <v>107</v>
      </c>
      <c r="E156" s="142" t="s">
        <v>107</v>
      </c>
      <c r="F156" s="141"/>
      <c r="G156" s="73" t="s">
        <v>93</v>
      </c>
      <c r="H156" s="142" t="s">
        <v>107</v>
      </c>
      <c r="I156" s="142" t="s">
        <v>107</v>
      </c>
      <c r="J156" s="139"/>
      <c r="K156" s="140" t="s">
        <v>170</v>
      </c>
      <c r="L156" s="53"/>
      <c r="M156" s="53"/>
      <c r="N156" s="53"/>
      <c r="O156" s="53"/>
      <c r="P156" s="53"/>
    </row>
    <row r="157" spans="2:16" ht="13.5">
      <c r="B157" s="46"/>
      <c r="C157" s="73" t="s">
        <v>171</v>
      </c>
      <c r="D157" s="142" t="s">
        <v>107</v>
      </c>
      <c r="E157" s="45"/>
      <c r="F157" s="141"/>
      <c r="G157" s="73" t="s">
        <v>171</v>
      </c>
      <c r="H157" s="142" t="s">
        <v>107</v>
      </c>
      <c r="I157" s="45"/>
      <c r="J157" s="139"/>
      <c r="K157" s="136" t="s">
        <v>172</v>
      </c>
      <c r="L157" s="110"/>
      <c r="M157" s="110"/>
      <c r="N157" s="110"/>
      <c r="O157" s="110"/>
      <c r="P157" s="110"/>
    </row>
    <row r="158" spans="2:16" ht="14.25" thickBot="1">
      <c r="B158" s="46"/>
      <c r="C158" s="73"/>
      <c r="D158" s="45"/>
      <c r="E158" s="45"/>
      <c r="F158" s="141"/>
      <c r="G158" s="73"/>
      <c r="H158" s="45"/>
      <c r="I158" s="45"/>
      <c r="J158" s="139"/>
      <c r="L158" s="79" t="s">
        <v>173</v>
      </c>
      <c r="M158" s="41"/>
      <c r="N158" s="41"/>
      <c r="O158" s="41"/>
      <c r="P158" s="41"/>
    </row>
    <row r="159" spans="2:16" ht="14.25" thickBot="1">
      <c r="B159" s="48" t="str">
        <f>"2/2"</f>
        <v>2/2</v>
      </c>
      <c r="C159" s="73" t="s">
        <v>90</v>
      </c>
      <c r="D159" s="143" t="s">
        <v>91</v>
      </c>
      <c r="E159" s="45"/>
      <c r="F159" s="68" t="str">
        <f>"2/2"</f>
        <v>2/2</v>
      </c>
      <c r="G159" s="73" t="s">
        <v>90</v>
      </c>
      <c r="H159" s="143" t="s">
        <v>91</v>
      </c>
      <c r="I159" s="45"/>
      <c r="J159" s="139"/>
      <c r="K159" s="144" t="s">
        <v>174</v>
      </c>
      <c r="L159" s="108"/>
      <c r="M159" s="108"/>
      <c r="N159" s="108"/>
      <c r="O159" s="108"/>
      <c r="P159" s="108"/>
    </row>
    <row r="160" spans="2:16" ht="14.25" thickBot="1">
      <c r="B160" s="46"/>
      <c r="C160" s="73" t="s">
        <v>175</v>
      </c>
      <c r="D160" s="143" t="s">
        <v>34</v>
      </c>
      <c r="E160" s="45"/>
      <c r="F160" s="139"/>
      <c r="G160" s="73" t="s">
        <v>175</v>
      </c>
      <c r="H160" s="143" t="s">
        <v>36</v>
      </c>
      <c r="I160" s="45"/>
      <c r="J160" s="139"/>
      <c r="K160" s="144" t="s">
        <v>177</v>
      </c>
      <c r="L160" s="108"/>
      <c r="M160" s="108"/>
      <c r="N160" s="108"/>
      <c r="O160" s="108"/>
      <c r="P160" s="108"/>
    </row>
    <row r="161" spans="2:16" ht="14.25" thickBot="1">
      <c r="B161" s="46"/>
      <c r="C161" s="73" t="s">
        <v>178</v>
      </c>
      <c r="D161" s="271" t="s">
        <v>38</v>
      </c>
      <c r="E161" s="45"/>
      <c r="F161" s="139"/>
      <c r="G161" s="73" t="s">
        <v>178</v>
      </c>
      <c r="H161" s="143" t="s">
        <v>225</v>
      </c>
      <c r="I161" s="45"/>
      <c r="J161" s="139"/>
      <c r="K161" s="144" t="s">
        <v>181</v>
      </c>
      <c r="L161" s="108"/>
      <c r="M161" s="108"/>
      <c r="N161" s="108"/>
      <c r="O161" s="108"/>
      <c r="P161" s="108"/>
    </row>
    <row r="162" spans="2:16" ht="14.25" thickBot="1">
      <c r="B162" s="46"/>
      <c r="C162" s="73" t="s">
        <v>182</v>
      </c>
      <c r="D162" s="135" t="s">
        <v>158</v>
      </c>
      <c r="E162" s="45"/>
      <c r="F162" s="139"/>
      <c r="G162" s="73" t="s">
        <v>182</v>
      </c>
      <c r="H162" s="135" t="s">
        <v>158</v>
      </c>
      <c r="I162" s="45"/>
      <c r="J162" s="139"/>
      <c r="K162" s="144" t="s">
        <v>183</v>
      </c>
      <c r="L162" s="108"/>
      <c r="M162" s="108"/>
      <c r="N162" s="108"/>
      <c r="O162" s="108"/>
      <c r="P162" s="108"/>
    </row>
    <row r="163" spans="2:16" ht="14.25" thickBot="1">
      <c r="B163" s="46"/>
      <c r="C163" s="145" t="s">
        <v>184</v>
      </c>
      <c r="D163" s="124" t="s">
        <v>158</v>
      </c>
      <c r="E163" s="45"/>
      <c r="F163" s="139"/>
      <c r="G163" s="145" t="s">
        <v>184</v>
      </c>
      <c r="H163" s="124" t="s">
        <v>158</v>
      </c>
      <c r="I163" s="45"/>
      <c r="J163" s="139"/>
      <c r="K163" s="136" t="s">
        <v>185</v>
      </c>
      <c r="L163" s="110"/>
      <c r="M163" s="110"/>
      <c r="N163" s="110"/>
      <c r="O163" s="110"/>
      <c r="P163" s="110"/>
    </row>
    <row r="164" spans="2:16" ht="14.25" thickBot="1">
      <c r="B164" s="46"/>
      <c r="C164" s="73" t="s">
        <v>50</v>
      </c>
      <c r="D164" s="135" t="s">
        <v>54</v>
      </c>
      <c r="E164" s="45"/>
      <c r="F164" s="139"/>
      <c r="G164" s="73" t="s">
        <v>50</v>
      </c>
      <c r="H164" s="135" t="s">
        <v>102</v>
      </c>
      <c r="I164" s="45"/>
      <c r="J164" s="139"/>
      <c r="K164" s="136" t="s">
        <v>186</v>
      </c>
      <c r="L164" s="110"/>
      <c r="M164" s="110"/>
      <c r="N164" s="110"/>
      <c r="O164" s="110"/>
      <c r="P164" s="110"/>
    </row>
    <row r="165" spans="2:16" ht="13.5">
      <c r="B165" s="46"/>
      <c r="C165" s="73" t="s">
        <v>96</v>
      </c>
      <c r="D165" s="135" t="s">
        <v>97</v>
      </c>
      <c r="E165" s="45"/>
      <c r="F165" s="139"/>
      <c r="G165" s="73" t="s">
        <v>96</v>
      </c>
      <c r="H165" s="135" t="s">
        <v>97</v>
      </c>
      <c r="I165" s="45"/>
      <c r="J165" s="139"/>
      <c r="K165" s="136" t="s">
        <v>187</v>
      </c>
      <c r="L165" s="110"/>
      <c r="M165" s="110"/>
      <c r="N165" s="110"/>
      <c r="O165" s="110"/>
      <c r="P165" s="110"/>
    </row>
    <row r="166" spans="2:16" s="3" customFormat="1" ht="13.5">
      <c r="B166" s="45"/>
      <c r="C166" s="73"/>
      <c r="D166" s="45"/>
      <c r="E166" s="45"/>
      <c r="F166" s="62"/>
      <c r="G166" s="73"/>
      <c r="H166" s="45"/>
      <c r="I166" s="45"/>
      <c r="J166" s="62"/>
      <c r="K166" s="92" t="s">
        <v>188</v>
      </c>
      <c r="L166" s="41"/>
      <c r="M166" s="41"/>
      <c r="N166" s="41"/>
      <c r="O166" s="41"/>
      <c r="P166" s="41"/>
    </row>
    <row r="167" spans="2:16" ht="13.5">
      <c r="B167" s="46"/>
      <c r="C167" s="73"/>
      <c r="D167" s="45"/>
      <c r="E167" s="45"/>
      <c r="F167" s="45"/>
      <c r="G167" s="45"/>
      <c r="H167" s="45"/>
      <c r="I167" s="45"/>
      <c r="J167" s="45"/>
      <c r="K167" s="30"/>
      <c r="L167" s="3"/>
      <c r="M167" s="3"/>
      <c r="N167" s="3"/>
      <c r="O167" s="3"/>
      <c r="P167" s="3"/>
    </row>
    <row r="168" spans="2:11" ht="13.5">
      <c r="B168" s="46"/>
      <c r="C168" s="65" t="s">
        <v>189</v>
      </c>
      <c r="D168" s="65"/>
      <c r="E168" s="65"/>
      <c r="F168" s="139"/>
      <c r="G168" s="65" t="s">
        <v>190</v>
      </c>
      <c r="H168" s="65"/>
      <c r="I168" s="65"/>
      <c r="J168" s="146"/>
      <c r="K168" s="45"/>
    </row>
    <row r="169" spans="2:11" ht="13.5">
      <c r="B169" s="48" t="str">
        <f>"1/2"</f>
        <v>1/2</v>
      </c>
      <c r="C169" s="3"/>
      <c r="D169" s="45" t="str">
        <f>"("&amp;D174&amp;")"</f>
        <v>(INH)</v>
      </c>
      <c r="E169" s="45"/>
      <c r="F169" s="68" t="str">
        <f>"1/2"</f>
        <v>1/2</v>
      </c>
      <c r="G169" s="3"/>
      <c r="H169" s="45" t="str">
        <f>"("&amp;H174&amp;")"</f>
        <v>(INH)</v>
      </c>
      <c r="I169" s="45"/>
      <c r="J169" s="146"/>
      <c r="K169" s="45"/>
    </row>
    <row r="170" spans="2:11" ht="13.5">
      <c r="B170" s="46"/>
      <c r="C170" s="3"/>
      <c r="D170" s="45" t="str">
        <f>"("&amp;D175&amp;"-&gt;"&amp;D176&amp;")"</f>
        <v>(FLAP-&gt;ELEV)</v>
      </c>
      <c r="E170" s="45"/>
      <c r="F170" s="141"/>
      <c r="G170" s="3"/>
      <c r="H170" s="45" t="str">
        <f>"("&amp;H175&amp;"-&gt;"&amp;H176&amp;")"</f>
        <v>(THRO-&gt;RUDD)</v>
      </c>
      <c r="I170" s="45"/>
      <c r="J170" s="146"/>
      <c r="K170" s="45"/>
    </row>
    <row r="171" spans="2:11" ht="13.5">
      <c r="B171" s="46"/>
      <c r="C171" s="73" t="s">
        <v>93</v>
      </c>
      <c r="D171" s="142" t="s">
        <v>107</v>
      </c>
      <c r="E171" s="142" t="s">
        <v>107</v>
      </c>
      <c r="F171" s="141"/>
      <c r="G171" s="73" t="s">
        <v>93</v>
      </c>
      <c r="H171" s="142" t="s">
        <v>107</v>
      </c>
      <c r="I171" s="142" t="s">
        <v>107</v>
      </c>
      <c r="J171" s="146"/>
      <c r="K171" s="45"/>
    </row>
    <row r="172" spans="2:11" ht="13.5">
      <c r="B172" s="46"/>
      <c r="C172" s="73" t="s">
        <v>171</v>
      </c>
      <c r="D172" s="142" t="s">
        <v>107</v>
      </c>
      <c r="E172" s="45"/>
      <c r="F172" s="141"/>
      <c r="G172" s="73" t="s">
        <v>171</v>
      </c>
      <c r="H172" s="142" t="s">
        <v>234</v>
      </c>
      <c r="I172" s="45"/>
      <c r="J172" s="146"/>
      <c r="K172" s="45"/>
    </row>
    <row r="173" spans="2:11" ht="13.5">
      <c r="B173" s="46"/>
      <c r="C173" s="73"/>
      <c r="D173" s="45"/>
      <c r="E173" s="45"/>
      <c r="F173" s="141"/>
      <c r="G173" s="73"/>
      <c r="H173" s="45"/>
      <c r="I173" s="45"/>
      <c r="J173" s="146"/>
      <c r="K173" s="45"/>
    </row>
    <row r="174" spans="2:11" ht="13.5">
      <c r="B174" s="48" t="str">
        <f>"2/2"</f>
        <v>2/2</v>
      </c>
      <c r="C174" s="73" t="s">
        <v>90</v>
      </c>
      <c r="D174" s="143" t="s">
        <v>91</v>
      </c>
      <c r="E174" s="45"/>
      <c r="F174" s="68" t="str">
        <f>"2/2"</f>
        <v>2/2</v>
      </c>
      <c r="G174" s="73" t="s">
        <v>90</v>
      </c>
      <c r="H174" s="143" t="s">
        <v>91</v>
      </c>
      <c r="I174" s="45"/>
      <c r="J174" s="146"/>
      <c r="K174" s="45"/>
    </row>
    <row r="175" spans="2:11" ht="13.5">
      <c r="B175" s="46"/>
      <c r="C175" s="73" t="s">
        <v>175</v>
      </c>
      <c r="D175" s="143" t="s">
        <v>225</v>
      </c>
      <c r="E175" s="45"/>
      <c r="F175" s="139"/>
      <c r="G175" s="73" t="s">
        <v>175</v>
      </c>
      <c r="H175" s="143" t="s">
        <v>37</v>
      </c>
      <c r="I175" s="45"/>
      <c r="J175" s="146"/>
      <c r="K175" s="45"/>
    </row>
    <row r="176" spans="2:11" ht="13.5">
      <c r="B176" s="46"/>
      <c r="C176" s="73" t="s">
        <v>178</v>
      </c>
      <c r="D176" s="143" t="s">
        <v>36</v>
      </c>
      <c r="E176" s="45"/>
      <c r="F176" s="139"/>
      <c r="G176" s="73" t="s">
        <v>178</v>
      </c>
      <c r="H176" s="143" t="s">
        <v>38</v>
      </c>
      <c r="I176" s="45"/>
      <c r="J176" s="146"/>
      <c r="K176" s="45"/>
    </row>
    <row r="177" spans="2:11" ht="13.5">
      <c r="B177" s="46"/>
      <c r="C177" s="73" t="s">
        <v>182</v>
      </c>
      <c r="D177" s="135" t="s">
        <v>158</v>
      </c>
      <c r="E177" s="45"/>
      <c r="F177" s="139"/>
      <c r="G177" s="73" t="s">
        <v>182</v>
      </c>
      <c r="H177" s="147" t="s">
        <v>158</v>
      </c>
      <c r="I177" s="45"/>
      <c r="J177" s="146"/>
      <c r="K177" s="45"/>
    </row>
    <row r="178" spans="2:11" ht="13.5">
      <c r="B178" s="46"/>
      <c r="C178" s="145" t="s">
        <v>184</v>
      </c>
      <c r="D178" s="124" t="s">
        <v>158</v>
      </c>
      <c r="E178" s="45"/>
      <c r="F178" s="139"/>
      <c r="G178" s="145" t="s">
        <v>184</v>
      </c>
      <c r="H178" s="124" t="s">
        <v>158</v>
      </c>
      <c r="I178" s="45"/>
      <c r="J178" s="146"/>
      <c r="K178" s="45"/>
    </row>
    <row r="179" spans="2:11" ht="13.5">
      <c r="B179" s="46"/>
      <c r="C179" s="73" t="s">
        <v>50</v>
      </c>
      <c r="D179" s="135" t="s">
        <v>304</v>
      </c>
      <c r="E179" s="45"/>
      <c r="F179" s="139"/>
      <c r="G179" s="73" t="s">
        <v>50</v>
      </c>
      <c r="H179" s="135" t="s">
        <v>200</v>
      </c>
      <c r="I179" s="45"/>
      <c r="J179" s="146"/>
      <c r="K179" s="45"/>
    </row>
    <row r="180" spans="2:11" ht="13.5">
      <c r="B180" s="46"/>
      <c r="C180" s="73" t="s">
        <v>96</v>
      </c>
      <c r="D180" s="135" t="s">
        <v>146</v>
      </c>
      <c r="E180" s="45"/>
      <c r="F180" s="139"/>
      <c r="G180" s="73" t="s">
        <v>96</v>
      </c>
      <c r="H180" s="135" t="s">
        <v>146</v>
      </c>
      <c r="I180" s="45"/>
      <c r="J180" s="146"/>
      <c r="K180" s="45"/>
    </row>
    <row r="181" spans="2:11" s="3" customFormat="1" ht="13.5">
      <c r="B181" s="45"/>
      <c r="C181" s="73"/>
      <c r="D181" s="45"/>
      <c r="E181" s="45"/>
      <c r="F181" s="62"/>
      <c r="G181" s="73"/>
      <c r="H181" s="45"/>
      <c r="I181" s="45"/>
      <c r="J181" s="148"/>
      <c r="K181" s="45"/>
    </row>
    <row r="182" spans="2:11" ht="13.5">
      <c r="B182" s="46"/>
      <c r="C182" s="73"/>
      <c r="D182" s="45"/>
      <c r="E182" s="45"/>
      <c r="F182" s="45"/>
      <c r="G182" s="45"/>
      <c r="H182" s="45"/>
      <c r="I182" s="45"/>
      <c r="J182" s="45"/>
      <c r="K182" s="45"/>
    </row>
    <row r="183" spans="2:11" ht="13.5">
      <c r="B183" s="46"/>
      <c r="C183" s="65" t="s">
        <v>193</v>
      </c>
      <c r="D183" s="65"/>
      <c r="E183" s="65"/>
      <c r="F183" s="146"/>
      <c r="J183" s="45"/>
      <c r="K183" s="45"/>
    </row>
    <row r="184" spans="2:11" ht="13.5">
      <c r="B184" s="48" t="str">
        <f>"1/2"</f>
        <v>1/2</v>
      </c>
      <c r="C184" s="3"/>
      <c r="D184" s="45" t="str">
        <f>"("&amp;D189&amp;")"</f>
        <v>(INH)</v>
      </c>
      <c r="E184" s="45"/>
      <c r="F184" s="146"/>
      <c r="J184" s="45"/>
      <c r="K184" s="45"/>
    </row>
    <row r="185" spans="2:11" ht="13.5">
      <c r="B185" s="46"/>
      <c r="C185" s="3"/>
      <c r="D185" s="45" t="str">
        <f>"("&amp;D190&amp;"-&gt;"&amp;D191&amp;")"</f>
        <v>(RUDD-&gt;AILE)</v>
      </c>
      <c r="E185" s="45"/>
      <c r="F185" s="146"/>
      <c r="J185" s="45"/>
      <c r="K185" s="45"/>
    </row>
    <row r="186" spans="2:11" ht="13.5">
      <c r="B186" s="46"/>
      <c r="C186" s="73" t="s">
        <v>93</v>
      </c>
      <c r="D186" s="142" t="s">
        <v>107</v>
      </c>
      <c r="E186" s="142" t="s">
        <v>107</v>
      </c>
      <c r="F186" s="146"/>
      <c r="G186" s="149" t="s">
        <v>194</v>
      </c>
      <c r="H186" s="150"/>
      <c r="I186" s="150"/>
      <c r="J186" s="45"/>
      <c r="K186" s="45"/>
    </row>
    <row r="187" spans="2:11" ht="13.5">
      <c r="B187" s="46"/>
      <c r="C187" s="73" t="s">
        <v>171</v>
      </c>
      <c r="D187" s="142" t="s">
        <v>107</v>
      </c>
      <c r="E187" s="45"/>
      <c r="F187" s="146"/>
      <c r="G187" s="92" t="s">
        <v>195</v>
      </c>
      <c r="H187" s="41"/>
      <c r="I187" s="150"/>
      <c r="J187" s="45"/>
      <c r="K187" s="45"/>
    </row>
    <row r="188" spans="2:11" ht="13.5">
      <c r="B188" s="46"/>
      <c r="C188" s="73"/>
      <c r="D188" s="45"/>
      <c r="E188" s="45"/>
      <c r="F188" s="146"/>
      <c r="G188" s="92" t="s">
        <v>196</v>
      </c>
      <c r="H188" s="41"/>
      <c r="I188" s="150"/>
      <c r="J188" s="45"/>
      <c r="K188" s="45"/>
    </row>
    <row r="189" spans="2:11" ht="13.5">
      <c r="B189" s="48" t="str">
        <f>"2/2"</f>
        <v>2/2</v>
      </c>
      <c r="C189" s="73" t="s">
        <v>90</v>
      </c>
      <c r="D189" s="143" t="s">
        <v>91</v>
      </c>
      <c r="E189" s="45"/>
      <c r="F189" s="146"/>
      <c r="G189" s="92" t="s">
        <v>197</v>
      </c>
      <c r="H189" s="41"/>
      <c r="I189" s="150"/>
      <c r="J189" s="45"/>
      <c r="K189" s="45"/>
    </row>
    <row r="190" spans="2:11" ht="13.5">
      <c r="B190" s="46"/>
      <c r="C190" s="73" t="s">
        <v>175</v>
      </c>
      <c r="D190" s="143" t="s">
        <v>38</v>
      </c>
      <c r="E190" s="45"/>
      <c r="F190" s="141"/>
      <c r="G190" s="92" t="s">
        <v>198</v>
      </c>
      <c r="H190" s="151"/>
      <c r="I190" s="150"/>
      <c r="J190" s="46"/>
      <c r="K190" s="46"/>
    </row>
    <row r="191" spans="2:11" ht="13.5">
      <c r="B191" s="46"/>
      <c r="C191" s="73" t="s">
        <v>178</v>
      </c>
      <c r="D191" s="143" t="s">
        <v>34</v>
      </c>
      <c r="E191" s="45"/>
      <c r="F191" s="139"/>
      <c r="G191" s="92" t="s">
        <v>199</v>
      </c>
      <c r="H191" s="151"/>
      <c r="I191" s="150"/>
      <c r="J191" s="131"/>
      <c r="K191" s="46"/>
    </row>
    <row r="192" spans="2:11" ht="13.5">
      <c r="B192" s="46"/>
      <c r="C192" s="73" t="s">
        <v>182</v>
      </c>
      <c r="D192" s="135" t="s">
        <v>158</v>
      </c>
      <c r="E192" s="45"/>
      <c r="F192" s="139"/>
      <c r="G192" s="152"/>
      <c r="H192" s="152"/>
      <c r="J192" s="46"/>
      <c r="K192" s="46"/>
    </row>
    <row r="193" spans="2:11" ht="13.5">
      <c r="B193" s="46"/>
      <c r="C193" s="145" t="s">
        <v>184</v>
      </c>
      <c r="D193" s="124" t="s">
        <v>158</v>
      </c>
      <c r="E193" s="45"/>
      <c r="F193" s="139"/>
      <c r="G193" s="152"/>
      <c r="H193" s="152"/>
      <c r="J193" s="46"/>
      <c r="K193" s="46"/>
    </row>
    <row r="194" spans="2:11" ht="13.5">
      <c r="B194" s="46"/>
      <c r="C194" s="73" t="s">
        <v>50</v>
      </c>
      <c r="D194" s="135" t="s">
        <v>200</v>
      </c>
      <c r="E194" s="45"/>
      <c r="F194" s="139"/>
      <c r="G194" s="152"/>
      <c r="H194" s="152"/>
      <c r="J194" s="46"/>
      <c r="K194" s="46"/>
    </row>
    <row r="195" spans="2:11" ht="13.5">
      <c r="B195" s="46"/>
      <c r="C195" s="73" t="s">
        <v>96</v>
      </c>
      <c r="D195" s="135" t="s">
        <v>146</v>
      </c>
      <c r="E195" s="45"/>
      <c r="F195" s="139"/>
      <c r="G195" s="152"/>
      <c r="H195" s="152"/>
      <c r="J195" s="46"/>
      <c r="K195" s="46"/>
    </row>
    <row r="196" spans="2:11" s="3" customFormat="1" ht="13.5">
      <c r="B196" s="45"/>
      <c r="C196" s="73"/>
      <c r="D196" s="45"/>
      <c r="E196" s="45"/>
      <c r="F196" s="62"/>
      <c r="G196" s="152"/>
      <c r="H196" s="152"/>
      <c r="J196" s="45"/>
      <c r="K196" s="45"/>
    </row>
    <row r="197" spans="2:11" ht="13.5">
      <c r="B197" s="46"/>
      <c r="C197" s="73"/>
      <c r="D197" s="45"/>
      <c r="E197" s="45"/>
      <c r="J197" s="46"/>
      <c r="K197" s="46"/>
    </row>
    <row r="198" spans="2:11" ht="13.5">
      <c r="B198" s="46"/>
      <c r="C198" s="65" t="s">
        <v>201</v>
      </c>
      <c r="D198" s="65"/>
      <c r="E198" s="65"/>
      <c r="F198" s="139"/>
      <c r="G198" s="65" t="s">
        <v>202</v>
      </c>
      <c r="H198" s="65"/>
      <c r="I198" s="65"/>
      <c r="J198" s="141"/>
      <c r="K198" s="46"/>
    </row>
    <row r="199" spans="2:11" ht="13.5">
      <c r="B199" s="48" t="str">
        <f>"1/2"</f>
        <v>1/2</v>
      </c>
      <c r="C199" s="45" t="str">
        <f>"("&amp;D207&amp;")"</f>
        <v>(INH)</v>
      </c>
      <c r="D199" s="3"/>
      <c r="E199" s="45"/>
      <c r="F199" s="68" t="str">
        <f>"1/2"</f>
        <v>1/2</v>
      </c>
      <c r="G199" s="45" t="str">
        <f>"("&amp;H207&amp;")"</f>
        <v>(INH)</v>
      </c>
      <c r="H199" s="45"/>
      <c r="J199" s="141"/>
      <c r="K199" s="46"/>
    </row>
    <row r="200" spans="2:11" ht="13.5">
      <c r="B200" s="46"/>
      <c r="C200" s="45" t="str">
        <f>"("&amp;D208&amp;"-&gt;"&amp;D209&amp;")"</f>
        <v>(RUDD-&gt;AILE)</v>
      </c>
      <c r="D200" s="3"/>
      <c r="E200" s="45"/>
      <c r="F200" s="141"/>
      <c r="G200" s="45" t="str">
        <f aca="true" t="shared" si="0" ref="G200:G205">"("&amp;H208&amp;")"</f>
        <v>(RUDD)</v>
      </c>
      <c r="H200" s="45"/>
      <c r="J200" s="141"/>
      <c r="K200" s="46"/>
    </row>
    <row r="201" spans="2:11" ht="13.5">
      <c r="B201" s="46"/>
      <c r="C201" s="153" t="s">
        <v>203</v>
      </c>
      <c r="D201" s="142" t="s">
        <v>107</v>
      </c>
      <c r="F201" s="141"/>
      <c r="G201" s="45" t="str">
        <f t="shared" si="0"/>
        <v>(ELEV)</v>
      </c>
      <c r="H201" s="142" t="s">
        <v>107</v>
      </c>
      <c r="J201" s="141"/>
      <c r="K201" s="46"/>
    </row>
    <row r="202" spans="2:11" ht="13.5">
      <c r="B202" s="46"/>
      <c r="C202" s="153" t="s">
        <v>204</v>
      </c>
      <c r="D202" s="142" t="s">
        <v>107</v>
      </c>
      <c r="F202" s="141"/>
      <c r="G202" s="45" t="str">
        <f t="shared" si="0"/>
        <v>(OFF)</v>
      </c>
      <c r="H202" s="142" t="s">
        <v>107</v>
      </c>
      <c r="J202" s="141"/>
      <c r="K202" s="46"/>
    </row>
    <row r="203" spans="2:11" ht="13.5">
      <c r="B203" s="46"/>
      <c r="C203" s="153" t="s">
        <v>205</v>
      </c>
      <c r="D203" s="142" t="s">
        <v>107</v>
      </c>
      <c r="F203" s="141"/>
      <c r="G203" s="45" t="str">
        <f t="shared" si="0"/>
        <v>()</v>
      </c>
      <c r="H203" s="142" t="s">
        <v>107</v>
      </c>
      <c r="J203" s="141"/>
      <c r="K203" s="46"/>
    </row>
    <row r="204" spans="3:11" ht="13.5">
      <c r="C204" s="153" t="s">
        <v>206</v>
      </c>
      <c r="D204" s="142" t="s">
        <v>107</v>
      </c>
      <c r="F204" s="139"/>
      <c r="G204" s="45" t="str">
        <f t="shared" si="0"/>
        <v>(H)</v>
      </c>
      <c r="H204" s="142" t="s">
        <v>107</v>
      </c>
      <c r="J204" s="141"/>
      <c r="K204" s="46"/>
    </row>
    <row r="205" spans="2:11" ht="13.5">
      <c r="B205" s="46"/>
      <c r="C205" s="153" t="s">
        <v>207</v>
      </c>
      <c r="D205" s="142" t="s">
        <v>107</v>
      </c>
      <c r="F205" s="139"/>
      <c r="G205" s="45" t="str">
        <f t="shared" si="0"/>
        <v>(DOWN)</v>
      </c>
      <c r="H205" s="142" t="s">
        <v>107</v>
      </c>
      <c r="J205" s="141"/>
      <c r="K205" s="46"/>
    </row>
    <row r="206" spans="2:11" ht="13.5">
      <c r="B206" s="46"/>
      <c r="E206" s="45"/>
      <c r="F206" s="139"/>
      <c r="G206" s="3"/>
      <c r="H206" s="45"/>
      <c r="J206" s="141"/>
      <c r="K206" s="46"/>
    </row>
    <row r="207" spans="2:11" ht="13.5">
      <c r="B207" s="48" t="str">
        <f>"2/2"</f>
        <v>2/2</v>
      </c>
      <c r="C207" s="73" t="s">
        <v>90</v>
      </c>
      <c r="D207" s="143" t="s">
        <v>91</v>
      </c>
      <c r="E207" s="45"/>
      <c r="F207" s="68" t="str">
        <f>"2/2"</f>
        <v>2/2</v>
      </c>
      <c r="G207" s="73" t="s">
        <v>90</v>
      </c>
      <c r="H207" s="143" t="s">
        <v>91</v>
      </c>
      <c r="J207" s="141"/>
      <c r="K207" s="46"/>
    </row>
    <row r="208" spans="2:11" ht="13.5">
      <c r="B208" s="46"/>
      <c r="C208" s="73" t="s">
        <v>175</v>
      </c>
      <c r="D208" s="143" t="s">
        <v>38</v>
      </c>
      <c r="E208" s="45"/>
      <c r="F208" s="146"/>
      <c r="G208" s="73" t="s">
        <v>175</v>
      </c>
      <c r="H208" s="143" t="s">
        <v>38</v>
      </c>
      <c r="I208" s="45"/>
      <c r="J208" s="141"/>
      <c r="K208" s="46"/>
    </row>
    <row r="209" spans="2:11" ht="13.5">
      <c r="B209" s="46"/>
      <c r="C209" s="73" t="s">
        <v>178</v>
      </c>
      <c r="D209" s="143" t="s">
        <v>34</v>
      </c>
      <c r="E209" s="45"/>
      <c r="F209" s="146"/>
      <c r="G209" s="73" t="s">
        <v>178</v>
      </c>
      <c r="H209" s="143" t="s">
        <v>36</v>
      </c>
      <c r="I209" s="45"/>
      <c r="J209" s="141"/>
      <c r="K209" s="46"/>
    </row>
    <row r="210" spans="2:11" ht="13.5">
      <c r="B210" s="46"/>
      <c r="C210" s="73" t="s">
        <v>182</v>
      </c>
      <c r="D210" s="135" t="s">
        <v>158</v>
      </c>
      <c r="E210" s="45"/>
      <c r="F210" s="146"/>
      <c r="G210" s="73" t="s">
        <v>182</v>
      </c>
      <c r="H210" s="135" t="s">
        <v>158</v>
      </c>
      <c r="I210" s="45"/>
      <c r="J210" s="141"/>
      <c r="K210" s="46"/>
    </row>
    <row r="211" spans="2:11" ht="13.5">
      <c r="B211" s="46"/>
      <c r="C211" s="73"/>
      <c r="D211" s="45"/>
      <c r="E211" s="45"/>
      <c r="F211" s="146"/>
      <c r="G211" s="73"/>
      <c r="H211" s="45"/>
      <c r="I211" s="45"/>
      <c r="J211" s="141"/>
      <c r="K211" s="46"/>
    </row>
    <row r="212" spans="2:11" ht="13.5">
      <c r="B212" s="46"/>
      <c r="C212" s="73" t="s">
        <v>50</v>
      </c>
      <c r="D212" s="135" t="s">
        <v>200</v>
      </c>
      <c r="E212" s="45"/>
      <c r="F212" s="146"/>
      <c r="G212" s="73" t="s">
        <v>50</v>
      </c>
      <c r="H212" s="135" t="s">
        <v>200</v>
      </c>
      <c r="I212" s="45"/>
      <c r="J212" s="141"/>
      <c r="K212" s="46"/>
    </row>
    <row r="213" spans="2:11" ht="13.5">
      <c r="B213" s="46"/>
      <c r="C213" s="73" t="s">
        <v>96</v>
      </c>
      <c r="D213" s="135" t="s">
        <v>146</v>
      </c>
      <c r="E213" s="45"/>
      <c r="F213" s="146"/>
      <c r="G213" s="73" t="s">
        <v>96</v>
      </c>
      <c r="H213" s="135" t="s">
        <v>146</v>
      </c>
      <c r="I213" s="45"/>
      <c r="J213" s="141"/>
      <c r="K213" s="46"/>
    </row>
    <row r="214" spans="2:11" s="3" customFormat="1" ht="13.5">
      <c r="B214" s="45"/>
      <c r="C214" s="73"/>
      <c r="D214" s="45"/>
      <c r="E214" s="45"/>
      <c r="F214" s="148"/>
      <c r="G214" s="73"/>
      <c r="H214" s="45"/>
      <c r="I214" s="45"/>
      <c r="J214" s="148"/>
      <c r="K214" s="45"/>
    </row>
    <row r="215" spans="2:14" ht="14.25" thickBot="1">
      <c r="B215" s="63"/>
      <c r="C215" s="64"/>
      <c r="D215" s="64"/>
      <c r="E215" s="64"/>
      <c r="F215" s="64"/>
      <c r="G215" s="64"/>
      <c r="H215" s="64"/>
      <c r="I215" s="64"/>
      <c r="J215" s="64"/>
      <c r="K215" s="64"/>
      <c r="L215" s="64"/>
      <c r="M215" s="64"/>
      <c r="N215" s="64"/>
    </row>
    <row r="216" spans="2:13" ht="13.5">
      <c r="B216" s="65" t="s">
        <v>208</v>
      </c>
      <c r="C216" s="73" t="s">
        <v>90</v>
      </c>
      <c r="D216" s="154" t="s">
        <v>91</v>
      </c>
      <c r="E216" s="131"/>
      <c r="G216" s="71" t="s">
        <v>209</v>
      </c>
      <c r="H216" s="41"/>
      <c r="I216" s="155"/>
      <c r="J216" s="41"/>
      <c r="K216" s="41"/>
      <c r="L216" s="41"/>
      <c r="M216" s="41"/>
    </row>
    <row r="217" spans="2:5" ht="13.5">
      <c r="B217" s="46"/>
      <c r="C217" s="73"/>
      <c r="D217" s="46" t="str">
        <f>"(L)"</f>
        <v>(L)</v>
      </c>
      <c r="E217" s="45" t="str">
        <f>"(R)"</f>
        <v>(R)</v>
      </c>
    </row>
    <row r="218" spans="2:13" ht="13.5">
      <c r="B218" s="46"/>
      <c r="C218" s="73" t="s">
        <v>210</v>
      </c>
      <c r="D218" s="135" t="s">
        <v>42</v>
      </c>
      <c r="E218" s="135" t="s">
        <v>42</v>
      </c>
      <c r="G218" s="92" t="s">
        <v>211</v>
      </c>
      <c r="H218" s="41"/>
      <c r="I218" s="155"/>
      <c r="J218" s="41"/>
      <c r="K218" s="41"/>
      <c r="L218" s="41"/>
      <c r="M218" s="41"/>
    </row>
    <row r="219" spans="2:9" ht="13.5">
      <c r="B219" s="46"/>
      <c r="C219" s="73" t="s">
        <v>212</v>
      </c>
      <c r="D219" s="135" t="s">
        <v>42</v>
      </c>
      <c r="E219" s="135" t="s">
        <v>42</v>
      </c>
      <c r="G219" s="14"/>
      <c r="I219" s="14"/>
    </row>
    <row r="220" spans="2:7" ht="13.5">
      <c r="B220" s="46"/>
      <c r="C220" s="73" t="s">
        <v>213</v>
      </c>
      <c r="D220" s="135" t="s">
        <v>42</v>
      </c>
      <c r="E220" s="45"/>
      <c r="G220" s="14"/>
    </row>
    <row r="221" spans="2:13" ht="13.5">
      <c r="B221" s="46"/>
      <c r="C221" s="73" t="s">
        <v>214</v>
      </c>
      <c r="D221" s="135" t="s">
        <v>191</v>
      </c>
      <c r="E221" s="45"/>
      <c r="G221" s="75" t="s">
        <v>215</v>
      </c>
      <c r="H221" s="41"/>
      <c r="I221" s="41"/>
      <c r="J221" s="41"/>
      <c r="K221" s="41"/>
      <c r="L221" s="41"/>
      <c r="M221" s="41"/>
    </row>
    <row r="222" spans="2:7" s="3" customFormat="1" ht="13.5">
      <c r="B222" s="45"/>
      <c r="C222" s="73"/>
      <c r="D222" s="45"/>
      <c r="E222" s="45"/>
      <c r="G222" s="156"/>
    </row>
    <row r="223" spans="2:14" ht="13.5" thickBot="1">
      <c r="B223" s="64"/>
      <c r="C223" s="64"/>
      <c r="D223" s="64"/>
      <c r="E223" s="64"/>
      <c r="F223" s="64"/>
      <c r="G223" s="64"/>
      <c r="H223" s="64"/>
      <c r="I223" s="64"/>
      <c r="J223" s="64"/>
      <c r="K223" s="64"/>
      <c r="L223" s="64"/>
      <c r="M223" s="64"/>
      <c r="N223" s="64"/>
    </row>
    <row r="224" spans="2:13" ht="14.25" thickBot="1">
      <c r="B224" s="65" t="s">
        <v>216</v>
      </c>
      <c r="C224" s="66" t="s">
        <v>90</v>
      </c>
      <c r="D224" s="157" t="s">
        <v>91</v>
      </c>
      <c r="G224" s="71" t="s">
        <v>217</v>
      </c>
      <c r="H224" s="41"/>
      <c r="I224" s="41"/>
      <c r="J224" s="41"/>
      <c r="K224" s="41"/>
      <c r="L224" s="41"/>
      <c r="M224" s="41"/>
    </row>
    <row r="225" spans="2:13" ht="13.5">
      <c r="B225" s="46"/>
      <c r="C225" s="48" t="s">
        <v>93</v>
      </c>
      <c r="D225" s="105" t="s">
        <v>107</v>
      </c>
      <c r="G225" s="109" t="s">
        <v>218</v>
      </c>
      <c r="H225" s="110"/>
      <c r="I225" s="110"/>
      <c r="J225" s="110"/>
      <c r="K225" s="110"/>
      <c r="L225" s="110"/>
      <c r="M225" s="110"/>
    </row>
    <row r="226" spans="2:7" s="3" customFormat="1" ht="13.5">
      <c r="B226" s="45"/>
      <c r="C226" s="73"/>
      <c r="D226" s="111"/>
      <c r="G226" s="156"/>
    </row>
    <row r="227" spans="2:14" ht="13.5" thickBot="1">
      <c r="B227" s="64"/>
      <c r="C227" s="64"/>
      <c r="D227" s="64"/>
      <c r="E227" s="64"/>
      <c r="F227" s="64"/>
      <c r="G227" s="64"/>
      <c r="H227" s="64"/>
      <c r="I227" s="64"/>
      <c r="J227" s="64"/>
      <c r="K227" s="64"/>
      <c r="L227" s="64"/>
      <c r="M227" s="64"/>
      <c r="N227" s="64"/>
    </row>
    <row r="228" spans="2:13" ht="13.5">
      <c r="B228" s="65" t="s">
        <v>219</v>
      </c>
      <c r="C228" s="66" t="s">
        <v>90</v>
      </c>
      <c r="D228" s="154" t="s">
        <v>91</v>
      </c>
      <c r="E228" s="131"/>
      <c r="F228" s="131"/>
      <c r="G228" s="71" t="s">
        <v>220</v>
      </c>
      <c r="H228" s="158"/>
      <c r="I228" s="159"/>
      <c r="J228" s="160"/>
      <c r="K228" s="158"/>
      <c r="L228" s="159"/>
      <c r="M228" s="160"/>
    </row>
    <row r="229" spans="2:13" ht="13.5">
      <c r="B229" s="46"/>
      <c r="C229" s="48"/>
      <c r="D229" s="46" t="str">
        <f>"(L)"</f>
        <v>(L)</v>
      </c>
      <c r="E229" s="46" t="str">
        <f>"(R)"</f>
        <v>(R)</v>
      </c>
      <c r="H229" s="88"/>
      <c r="I229" s="88"/>
      <c r="J229" s="88"/>
      <c r="K229" s="88"/>
      <c r="L229" s="88"/>
      <c r="M229" s="88"/>
    </row>
    <row r="230" spans="2:13" ht="13.5">
      <c r="B230" s="46"/>
      <c r="C230" s="104" t="s">
        <v>210</v>
      </c>
      <c r="D230" s="135" t="s">
        <v>42</v>
      </c>
      <c r="E230" s="135" t="s">
        <v>42</v>
      </c>
      <c r="G230" s="75" t="s">
        <v>221</v>
      </c>
      <c r="H230" s="41"/>
      <c r="I230" s="41"/>
      <c r="J230" s="41"/>
      <c r="K230" s="41"/>
      <c r="L230" s="41"/>
      <c r="M230" s="41"/>
    </row>
    <row r="231" spans="2:9" ht="13.5">
      <c r="B231" s="46"/>
      <c r="C231" s="48" t="s">
        <v>212</v>
      </c>
      <c r="D231" s="135" t="s">
        <v>42</v>
      </c>
      <c r="E231" s="135" t="s">
        <v>42</v>
      </c>
      <c r="G231" s="14"/>
      <c r="I231" s="14"/>
    </row>
    <row r="232" spans="2:9" s="3" customFormat="1" ht="13.5">
      <c r="B232" s="45"/>
      <c r="C232" s="73"/>
      <c r="D232" s="45"/>
      <c r="E232" s="45"/>
      <c r="G232" s="156"/>
      <c r="I232" s="156"/>
    </row>
    <row r="233" spans="2:14" ht="13.5" thickBot="1">
      <c r="B233" s="64"/>
      <c r="C233" s="64"/>
      <c r="D233" s="64"/>
      <c r="E233" s="64"/>
      <c r="F233" s="64"/>
      <c r="G233" s="64"/>
      <c r="H233" s="64"/>
      <c r="I233" s="64"/>
      <c r="J233" s="64"/>
      <c r="K233" s="64"/>
      <c r="L233" s="64"/>
      <c r="M233" s="64"/>
      <c r="N233" s="64"/>
    </row>
    <row r="234" spans="2:12" ht="14.25" thickBot="1">
      <c r="B234" s="65" t="s">
        <v>222</v>
      </c>
      <c r="C234" s="66" t="s">
        <v>90</v>
      </c>
      <c r="D234" s="137" t="s">
        <v>91</v>
      </c>
      <c r="F234" s="161" t="s">
        <v>223</v>
      </c>
      <c r="G234" s="41"/>
      <c r="H234" s="41"/>
      <c r="I234" s="41"/>
      <c r="J234" s="41"/>
      <c r="K234" s="41"/>
      <c r="L234" s="41"/>
    </row>
    <row r="235" spans="2:12" ht="13.5">
      <c r="B235" s="46"/>
      <c r="C235" s="48" t="s">
        <v>210</v>
      </c>
      <c r="D235" s="277" t="s">
        <v>234</v>
      </c>
      <c r="F235" s="136" t="s">
        <v>224</v>
      </c>
      <c r="G235" s="110"/>
      <c r="H235" s="110"/>
      <c r="I235" s="110"/>
      <c r="J235" s="110"/>
      <c r="K235" s="110"/>
      <c r="L235" s="110"/>
    </row>
    <row r="236" spans="2:4" ht="13.5">
      <c r="B236" s="46"/>
      <c r="C236" s="48" t="s">
        <v>84</v>
      </c>
      <c r="D236" s="135" t="s">
        <v>443</v>
      </c>
    </row>
    <row r="237" spans="2:4" ht="13.5">
      <c r="B237" s="46"/>
      <c r="C237" s="48" t="s">
        <v>225</v>
      </c>
      <c r="D237" s="135" t="s">
        <v>234</v>
      </c>
    </row>
    <row r="238" spans="2:4" ht="13.5">
      <c r="B238" s="46"/>
      <c r="C238" s="48" t="s">
        <v>212</v>
      </c>
      <c r="D238" s="135" t="s">
        <v>234</v>
      </c>
    </row>
    <row r="239" spans="2:12" ht="14.25" thickBot="1">
      <c r="B239" s="46"/>
      <c r="C239" s="48" t="s">
        <v>226</v>
      </c>
      <c r="D239" s="135" t="s">
        <v>94</v>
      </c>
      <c r="F239" s="140" t="s">
        <v>227</v>
      </c>
      <c r="G239" s="162"/>
      <c r="H239" s="163"/>
      <c r="I239" s="53"/>
      <c r="J239" s="162"/>
      <c r="K239" s="163"/>
      <c r="L239" s="53"/>
    </row>
    <row r="240" spans="2:12" ht="13.5">
      <c r="B240" s="46"/>
      <c r="C240" s="48" t="s">
        <v>144</v>
      </c>
      <c r="D240" s="147" t="s">
        <v>228</v>
      </c>
      <c r="F240" s="92" t="s">
        <v>229</v>
      </c>
      <c r="G240" s="41"/>
      <c r="H240" s="41"/>
      <c r="I240" s="41"/>
      <c r="J240" s="41"/>
      <c r="K240" s="41"/>
      <c r="L240" s="41"/>
    </row>
    <row r="241" spans="2:12" ht="13.5">
      <c r="B241" s="46"/>
      <c r="C241" s="48"/>
      <c r="D241" s="44"/>
      <c r="F241" s="92" t="s">
        <v>230</v>
      </c>
      <c r="G241" s="41"/>
      <c r="H241" s="41"/>
      <c r="I241" s="41"/>
      <c r="J241" s="41"/>
      <c r="K241" s="41"/>
      <c r="L241" s="41"/>
    </row>
    <row r="242" spans="2:15" ht="13.5" thickBot="1">
      <c r="B242" s="64"/>
      <c r="C242" s="64"/>
      <c r="D242" s="64"/>
      <c r="E242" s="64"/>
      <c r="F242" s="64"/>
      <c r="G242" s="64"/>
      <c r="H242" s="64"/>
      <c r="I242" s="64"/>
      <c r="J242" s="64"/>
      <c r="K242" s="64"/>
      <c r="L242" s="64"/>
      <c r="M242" s="64"/>
      <c r="N242" s="64"/>
      <c r="O242" s="64"/>
    </row>
    <row r="243" spans="2:14" ht="14.25" thickBot="1">
      <c r="B243" s="65" t="s">
        <v>231</v>
      </c>
      <c r="C243" s="66" t="s">
        <v>90</v>
      </c>
      <c r="D243" s="137" t="s">
        <v>91</v>
      </c>
      <c r="F243" s="115" t="s">
        <v>232</v>
      </c>
      <c r="G243" s="41"/>
      <c r="H243" s="41"/>
      <c r="I243" s="41"/>
      <c r="J243" s="41"/>
      <c r="K243" s="41"/>
      <c r="L243" s="41"/>
      <c r="M243" s="41"/>
      <c r="N243" s="41"/>
    </row>
    <row r="244" spans="2:14" ht="13.5">
      <c r="B244" s="46"/>
      <c r="C244" s="48" t="s">
        <v>233</v>
      </c>
      <c r="D244" s="135" t="s">
        <v>234</v>
      </c>
      <c r="F244" s="136" t="s">
        <v>103</v>
      </c>
      <c r="G244" s="110"/>
      <c r="H244" s="110"/>
      <c r="I244" s="110"/>
      <c r="J244" s="110"/>
      <c r="K244" s="110"/>
      <c r="L244" s="110"/>
      <c r="M244" s="110"/>
      <c r="N244" s="110"/>
    </row>
    <row r="245" spans="2:4" ht="13.5">
      <c r="B245" s="46"/>
      <c r="C245" s="48" t="s">
        <v>235</v>
      </c>
      <c r="D245" s="135" t="s">
        <v>234</v>
      </c>
    </row>
    <row r="246" spans="2:4" ht="13.5">
      <c r="B246" s="46"/>
      <c r="C246" s="48" t="s">
        <v>50</v>
      </c>
      <c r="D246" s="135" t="s">
        <v>102</v>
      </c>
    </row>
    <row r="247" spans="2:14" ht="13.5">
      <c r="B247" s="46"/>
      <c r="C247" s="48" t="s">
        <v>96</v>
      </c>
      <c r="D247" s="105" t="s">
        <v>97</v>
      </c>
      <c r="F247" s="92" t="s">
        <v>236</v>
      </c>
      <c r="G247" s="41"/>
      <c r="H247" s="41"/>
      <c r="I247" s="41"/>
      <c r="J247" s="41"/>
      <c r="K247" s="41"/>
      <c r="L247" s="41"/>
      <c r="M247" s="41"/>
      <c r="N247" s="41"/>
    </row>
    <row r="248" spans="2:4" s="3" customFormat="1" ht="13.5">
      <c r="B248" s="45"/>
      <c r="C248" s="73"/>
      <c r="D248" s="111"/>
    </row>
    <row r="249" spans="2:14" ht="13.5" thickBot="1">
      <c r="B249" s="64"/>
      <c r="C249" s="64"/>
      <c r="D249" s="64"/>
      <c r="E249" s="64"/>
      <c r="F249" s="64"/>
      <c r="G249" s="64"/>
      <c r="H249" s="64"/>
      <c r="I249" s="64"/>
      <c r="J249" s="64"/>
      <c r="K249" s="64"/>
      <c r="L249" s="64"/>
      <c r="M249" s="64"/>
      <c r="N249" s="64"/>
    </row>
    <row r="250" spans="2:11" ht="13.5">
      <c r="B250" s="65" t="s">
        <v>237</v>
      </c>
      <c r="C250" s="66" t="s">
        <v>90</v>
      </c>
      <c r="D250" s="137" t="s">
        <v>91</v>
      </c>
      <c r="F250" s="71" t="s">
        <v>238</v>
      </c>
      <c r="G250" s="41"/>
      <c r="H250" s="41"/>
      <c r="I250" s="41"/>
      <c r="J250" s="41"/>
      <c r="K250" s="41"/>
    </row>
    <row r="251" spans="2:7" ht="13.5">
      <c r="B251" s="46"/>
      <c r="G251" s="164"/>
    </row>
    <row r="252" spans="2:11" ht="13.5">
      <c r="B252" s="46"/>
      <c r="C252" s="104" t="s">
        <v>239</v>
      </c>
      <c r="D252" s="135" t="s">
        <v>234</v>
      </c>
      <c r="F252" s="30"/>
      <c r="G252" s="3"/>
      <c r="H252" s="3"/>
      <c r="I252" s="3"/>
      <c r="J252" s="3"/>
      <c r="K252" s="3"/>
    </row>
    <row r="253" spans="2:4" ht="13.5">
      <c r="B253" s="46"/>
      <c r="C253" s="48" t="s">
        <v>240</v>
      </c>
      <c r="D253" s="135" t="s">
        <v>241</v>
      </c>
    </row>
    <row r="254" spans="2:7" ht="13.5">
      <c r="B254" s="46"/>
      <c r="C254" s="48" t="s">
        <v>242</v>
      </c>
      <c r="D254" s="135" t="s">
        <v>234</v>
      </c>
      <c r="G254" s="14"/>
    </row>
    <row r="255" spans="2:7" ht="13.5">
      <c r="B255" s="46"/>
      <c r="C255" s="48" t="s">
        <v>243</v>
      </c>
      <c r="D255" s="135" t="s">
        <v>234</v>
      </c>
      <c r="G255" s="14"/>
    </row>
    <row r="256" spans="2:7" s="3" customFormat="1" ht="13.5">
      <c r="B256" s="45"/>
      <c r="C256" s="73"/>
      <c r="D256" s="45"/>
      <c r="G256" s="156"/>
    </row>
    <row r="257" spans="2:14" ht="13.5" thickBot="1">
      <c r="B257" s="64"/>
      <c r="C257" s="64"/>
      <c r="D257" s="64"/>
      <c r="E257" s="64"/>
      <c r="F257" s="64"/>
      <c r="G257" s="64"/>
      <c r="H257" s="64"/>
      <c r="I257" s="64"/>
      <c r="J257" s="64"/>
      <c r="K257" s="64"/>
      <c r="L257" s="64"/>
      <c r="M257" s="64"/>
      <c r="N257" s="64"/>
    </row>
    <row r="258" spans="2:13" ht="13.5">
      <c r="B258" s="65" t="s">
        <v>244</v>
      </c>
      <c r="C258" s="66" t="s">
        <v>90</v>
      </c>
      <c r="D258" s="154" t="s">
        <v>91</v>
      </c>
      <c r="E258" s="131"/>
      <c r="F258" s="131"/>
      <c r="G258" s="71" t="s">
        <v>245</v>
      </c>
      <c r="H258" s="41"/>
      <c r="I258" s="41"/>
      <c r="J258" s="41"/>
      <c r="K258" s="41"/>
      <c r="L258" s="41"/>
      <c r="M258" s="41"/>
    </row>
    <row r="259" spans="2:13" ht="13.5">
      <c r="B259" s="46"/>
      <c r="C259" s="48"/>
      <c r="D259" s="46" t="str">
        <f>"(L)"</f>
        <v>(L)</v>
      </c>
      <c r="E259" s="46" t="str">
        <f>"(R)"</f>
        <v>(R)</v>
      </c>
      <c r="G259" s="92" t="s">
        <v>246</v>
      </c>
      <c r="H259" s="41"/>
      <c r="I259" s="41"/>
      <c r="J259" s="41"/>
      <c r="K259" s="41"/>
      <c r="L259" s="41"/>
      <c r="M259" s="41"/>
    </row>
    <row r="260" spans="2:5" ht="13.5">
      <c r="B260" s="46"/>
      <c r="C260" s="104" t="s">
        <v>210</v>
      </c>
      <c r="D260" s="135" t="s">
        <v>42</v>
      </c>
      <c r="E260" s="135" t="s">
        <v>42</v>
      </c>
    </row>
    <row r="261" spans="2:13" ht="13.5">
      <c r="B261" s="46"/>
      <c r="C261" s="48" t="s">
        <v>212</v>
      </c>
      <c r="D261" s="135" t="s">
        <v>42</v>
      </c>
      <c r="E261" s="135" t="s">
        <v>42</v>
      </c>
      <c r="G261" s="79" t="s">
        <v>247</v>
      </c>
      <c r="H261" s="41"/>
      <c r="I261" s="41"/>
      <c r="J261" s="41"/>
      <c r="K261" s="41"/>
      <c r="L261" s="41"/>
      <c r="M261" s="41"/>
    </row>
    <row r="262" spans="2:7" ht="13.5">
      <c r="B262" s="46"/>
      <c r="C262" s="48" t="s">
        <v>240</v>
      </c>
      <c r="D262" s="135" t="s">
        <v>42</v>
      </c>
      <c r="E262" s="46"/>
      <c r="G262" s="88"/>
    </row>
    <row r="263" spans="2:5" ht="13.5">
      <c r="B263" s="46"/>
      <c r="C263" s="48" t="s">
        <v>248</v>
      </c>
      <c r="D263" s="135" t="s">
        <v>191</v>
      </c>
      <c r="E263" s="46"/>
    </row>
    <row r="264" spans="2:7" ht="13.5">
      <c r="B264" s="46"/>
      <c r="C264" s="48"/>
      <c r="D264" s="45"/>
      <c r="E264" s="46"/>
      <c r="G264" s="88"/>
    </row>
    <row r="265" spans="2:14" ht="13.5" thickBot="1">
      <c r="B265" s="64"/>
      <c r="C265" s="64"/>
      <c r="D265" s="64"/>
      <c r="E265" s="64"/>
      <c r="F265" s="64"/>
      <c r="G265" s="64"/>
      <c r="H265" s="64"/>
      <c r="I265" s="64"/>
      <c r="J265" s="64"/>
      <c r="K265" s="64"/>
      <c r="L265" s="64"/>
      <c r="M265" s="64"/>
      <c r="N265" s="64"/>
    </row>
    <row r="266" spans="2:13" ht="13.5">
      <c r="B266" s="65" t="s">
        <v>249</v>
      </c>
      <c r="C266" s="66" t="s">
        <v>90</v>
      </c>
      <c r="D266" s="154" t="s">
        <v>91</v>
      </c>
      <c r="E266" s="46"/>
      <c r="F266" s="71" t="s">
        <v>250</v>
      </c>
      <c r="G266" s="41"/>
      <c r="H266" s="41"/>
      <c r="I266" s="41"/>
      <c r="J266" s="41"/>
      <c r="K266" s="41"/>
      <c r="L266" s="41"/>
      <c r="M266" s="41"/>
    </row>
    <row r="267" spans="2:7" ht="13.5">
      <c r="B267" s="46"/>
      <c r="D267" s="46"/>
      <c r="E267" s="46"/>
      <c r="G267" s="88"/>
    </row>
    <row r="268" spans="2:13" ht="13.5">
      <c r="B268" s="46"/>
      <c r="C268" s="104" t="s">
        <v>251</v>
      </c>
      <c r="D268" s="135" t="s">
        <v>241</v>
      </c>
      <c r="F268" s="92" t="s">
        <v>252</v>
      </c>
      <c r="G268" s="41"/>
      <c r="H268" s="41"/>
      <c r="I268" s="41"/>
      <c r="J268" s="41"/>
      <c r="K268" s="41"/>
      <c r="L268" s="41"/>
      <c r="M268" s="41"/>
    </row>
    <row r="269" spans="2:12" ht="13.5">
      <c r="B269" s="46"/>
      <c r="C269" s="48" t="s">
        <v>253</v>
      </c>
      <c r="D269" s="135" t="s">
        <v>241</v>
      </c>
      <c r="E269" s="46"/>
      <c r="F269" s="30"/>
      <c r="G269" s="3"/>
      <c r="H269" s="3"/>
      <c r="I269" s="3"/>
      <c r="J269" s="3"/>
      <c r="K269" s="3"/>
      <c r="L269" s="3"/>
    </row>
    <row r="270" spans="2:5" ht="13.5">
      <c r="B270" s="46"/>
      <c r="C270" s="48" t="s">
        <v>240</v>
      </c>
      <c r="D270" s="135" t="s">
        <v>191</v>
      </c>
      <c r="E270" s="46"/>
    </row>
    <row r="271" spans="2:7" ht="13.5">
      <c r="B271" s="46"/>
      <c r="C271" s="48" t="s">
        <v>248</v>
      </c>
      <c r="D271" s="135" t="s">
        <v>42</v>
      </c>
      <c r="E271" s="46"/>
      <c r="G271" s="88"/>
    </row>
    <row r="272" spans="2:7" s="3" customFormat="1" ht="13.5">
      <c r="B272" s="45"/>
      <c r="C272" s="73"/>
      <c r="D272" s="45"/>
      <c r="E272" s="45"/>
      <c r="G272" s="62"/>
    </row>
    <row r="273" spans="2:16" ht="13.5" thickBot="1">
      <c r="B273" s="64"/>
      <c r="C273" s="64"/>
      <c r="D273" s="64"/>
      <c r="E273" s="64"/>
      <c r="F273" s="64"/>
      <c r="G273" s="64"/>
      <c r="H273" s="64"/>
      <c r="I273" s="64"/>
      <c r="J273" s="64"/>
      <c r="K273" s="64"/>
      <c r="L273" s="64"/>
      <c r="M273" s="64"/>
      <c r="N273" s="64"/>
      <c r="O273" s="64"/>
      <c r="P273" s="64"/>
    </row>
    <row r="274" spans="2:15" ht="14.25" thickBot="1">
      <c r="B274" s="65" t="s">
        <v>254</v>
      </c>
      <c r="C274" s="66" t="s">
        <v>90</v>
      </c>
      <c r="D274" s="154" t="s">
        <v>91</v>
      </c>
      <c r="E274" s="165" t="s">
        <v>255</v>
      </c>
      <c r="F274" s="166" t="s">
        <v>256</v>
      </c>
      <c r="G274" s="160"/>
      <c r="H274" s="167" t="s">
        <v>257</v>
      </c>
      <c r="I274" s="168"/>
      <c r="J274" s="131"/>
      <c r="K274" s="166" t="s">
        <v>258</v>
      </c>
      <c r="L274" s="160"/>
      <c r="M274" s="160"/>
      <c r="N274" s="160"/>
      <c r="O274" s="160"/>
    </row>
    <row r="275" spans="2:16" ht="13.5">
      <c r="B275" s="46"/>
      <c r="C275" s="104" t="s">
        <v>259</v>
      </c>
      <c r="D275" s="135" t="s">
        <v>42</v>
      </c>
      <c r="K275" s="92" t="s">
        <v>260</v>
      </c>
      <c r="L275" s="41"/>
      <c r="M275" s="41"/>
      <c r="N275" s="41"/>
      <c r="O275" s="41"/>
      <c r="P275" s="3"/>
    </row>
    <row r="276" spans="2:16" ht="13.5">
      <c r="B276" s="46"/>
      <c r="C276" s="48" t="s">
        <v>261</v>
      </c>
      <c r="D276" s="135" t="s">
        <v>42</v>
      </c>
      <c r="E276" s="46"/>
      <c r="K276" s="92" t="s">
        <v>262</v>
      </c>
      <c r="L276" s="41"/>
      <c r="M276" s="41"/>
      <c r="N276" s="41"/>
      <c r="O276" s="41"/>
      <c r="P276" s="3"/>
    </row>
    <row r="277" spans="2:5" ht="13.5">
      <c r="B277" s="46"/>
      <c r="C277" s="48" t="s">
        <v>263</v>
      </c>
      <c r="D277" s="135" t="s">
        <v>42</v>
      </c>
      <c r="E277" s="46"/>
    </row>
    <row r="278" spans="2:15" ht="14.25" thickBot="1">
      <c r="B278" s="46"/>
      <c r="C278" s="104" t="s">
        <v>264</v>
      </c>
      <c r="D278" s="135" t="s">
        <v>265</v>
      </c>
      <c r="F278" s="140" t="s">
        <v>266</v>
      </c>
      <c r="G278" s="53"/>
      <c r="H278" s="53"/>
      <c r="I278" s="53"/>
      <c r="J278" s="169"/>
      <c r="K278" s="169"/>
      <c r="L278" s="169"/>
      <c r="M278" s="169"/>
      <c r="N278" s="169"/>
      <c r="O278" s="169"/>
    </row>
    <row r="279" spans="2:15" ht="13.5">
      <c r="B279" s="46"/>
      <c r="C279" s="104" t="s">
        <v>267</v>
      </c>
      <c r="D279" s="135" t="s">
        <v>97</v>
      </c>
      <c r="F279" s="92" t="s">
        <v>268</v>
      </c>
      <c r="G279" s="41"/>
      <c r="H279" s="41"/>
      <c r="I279" s="92" t="s">
        <v>269</v>
      </c>
      <c r="J279" s="41"/>
      <c r="K279" s="170"/>
      <c r="L279" s="166" t="s">
        <v>270</v>
      </c>
      <c r="M279" s="41"/>
      <c r="N279" s="41"/>
      <c r="O279" s="41"/>
    </row>
    <row r="280" spans="2:15" ht="13.5">
      <c r="B280" s="46"/>
      <c r="C280" s="48" t="s">
        <v>271</v>
      </c>
      <c r="D280" s="135" t="s">
        <v>97</v>
      </c>
      <c r="F280" s="92" t="s">
        <v>272</v>
      </c>
      <c r="G280" s="41"/>
      <c r="H280" s="41"/>
      <c r="I280" s="92" t="s">
        <v>273</v>
      </c>
      <c r="J280" s="41"/>
      <c r="K280" s="170"/>
      <c r="L280" s="166" t="s">
        <v>274</v>
      </c>
      <c r="M280" s="41"/>
      <c r="N280" s="41"/>
      <c r="O280" s="41"/>
    </row>
    <row r="281" spans="2:10" ht="13.5">
      <c r="B281" s="45"/>
      <c r="C281" s="73"/>
      <c r="D281" s="45"/>
      <c r="E281" s="30"/>
      <c r="F281" s="3"/>
      <c r="G281" s="3"/>
      <c r="H281" s="30"/>
      <c r="I281" s="3"/>
      <c r="J281" s="171"/>
    </row>
    <row r="282" spans="2:15" ht="13.5" thickBot="1">
      <c r="B282" s="64"/>
      <c r="C282" s="64"/>
      <c r="D282" s="64"/>
      <c r="E282" s="64"/>
      <c r="F282" s="64"/>
      <c r="G282" s="64"/>
      <c r="H282" s="64"/>
      <c r="I282" s="64"/>
      <c r="J282" s="64"/>
      <c r="K282" s="64"/>
      <c r="L282" s="118"/>
      <c r="M282" s="118"/>
      <c r="N282" s="118"/>
      <c r="O282" s="62"/>
    </row>
    <row r="283" spans="2:15" ht="13.5">
      <c r="B283" s="65" t="s">
        <v>275</v>
      </c>
      <c r="C283" s="66" t="s">
        <v>90</v>
      </c>
      <c r="D283" s="137" t="s">
        <v>91</v>
      </c>
      <c r="E283" s="88"/>
      <c r="F283" s="71" t="s">
        <v>276</v>
      </c>
      <c r="G283" s="160"/>
      <c r="H283" s="160"/>
      <c r="I283" s="160"/>
      <c r="J283" s="88"/>
      <c r="K283" s="88"/>
      <c r="L283" s="88"/>
      <c r="M283" s="88"/>
      <c r="N283" s="88"/>
      <c r="O283" s="88"/>
    </row>
    <row r="284" spans="2:9" ht="13.5">
      <c r="B284" s="46"/>
      <c r="C284" s="48" t="s">
        <v>93</v>
      </c>
      <c r="D284" s="135" t="s">
        <v>94</v>
      </c>
      <c r="F284" s="92" t="s">
        <v>277</v>
      </c>
      <c r="G284" s="41"/>
      <c r="H284" s="41"/>
      <c r="I284" s="41"/>
    </row>
    <row r="285" spans="2:9" ht="13.5">
      <c r="B285" s="46"/>
      <c r="C285" s="48"/>
      <c r="D285" s="45"/>
      <c r="F285" s="30"/>
      <c r="G285" s="3"/>
      <c r="H285" s="3"/>
      <c r="I285" s="3"/>
    </row>
    <row r="286" spans="2:14" ht="13.5" thickBot="1">
      <c r="B286" s="64"/>
      <c r="C286" s="64"/>
      <c r="D286" s="64"/>
      <c r="E286" s="64"/>
      <c r="F286" s="64"/>
      <c r="G286" s="64"/>
      <c r="H286" s="64"/>
      <c r="I286" s="64"/>
      <c r="J286" s="64"/>
      <c r="K286" s="64"/>
      <c r="L286" s="64"/>
      <c r="M286" s="64"/>
      <c r="N286" s="64"/>
    </row>
    <row r="287" spans="2:11" ht="13.5">
      <c r="B287" s="65" t="s">
        <v>278</v>
      </c>
      <c r="C287" s="66" t="s">
        <v>90</v>
      </c>
      <c r="D287" s="154" t="s">
        <v>91</v>
      </c>
      <c r="F287" s="71" t="s">
        <v>279</v>
      </c>
      <c r="G287" s="41"/>
      <c r="H287" s="41"/>
      <c r="I287" s="41"/>
      <c r="J287" s="41"/>
      <c r="K287" s="41"/>
    </row>
    <row r="288" spans="2:11" ht="13.5">
      <c r="B288" s="46"/>
      <c r="C288" s="104" t="s">
        <v>280</v>
      </c>
      <c r="D288" s="105" t="s">
        <v>281</v>
      </c>
      <c r="E288" s="48"/>
      <c r="F288" s="92" t="s">
        <v>282</v>
      </c>
      <c r="G288" s="41"/>
      <c r="H288" s="41"/>
      <c r="I288" s="41"/>
      <c r="J288" s="41"/>
      <c r="K288" s="41"/>
    </row>
    <row r="289" spans="2:6" ht="13.5">
      <c r="B289" s="46"/>
      <c r="C289" s="46">
        <v>2</v>
      </c>
      <c r="D289" s="105" t="s">
        <v>283</v>
      </c>
      <c r="E289" s="48"/>
      <c r="F289" s="46"/>
    </row>
    <row r="290" spans="2:11" ht="13.5">
      <c r="B290" s="46"/>
      <c r="C290" s="46">
        <v>3</v>
      </c>
      <c r="D290" s="105" t="s">
        <v>284</v>
      </c>
      <c r="E290" s="48"/>
      <c r="F290" s="92" t="s">
        <v>285</v>
      </c>
      <c r="G290" s="41"/>
      <c r="H290" s="41"/>
      <c r="I290" s="41"/>
      <c r="J290" s="41"/>
      <c r="K290" s="41"/>
    </row>
    <row r="291" spans="2:6" ht="13.5">
      <c r="B291" s="46"/>
      <c r="C291" s="46">
        <v>4</v>
      </c>
      <c r="D291" s="105" t="s">
        <v>286</v>
      </c>
      <c r="E291" s="48"/>
      <c r="F291" s="46"/>
    </row>
    <row r="292" spans="2:6" ht="13.5">
      <c r="B292" s="46"/>
      <c r="C292" s="46">
        <v>5</v>
      </c>
      <c r="D292" s="105" t="s">
        <v>287</v>
      </c>
      <c r="E292" s="48"/>
      <c r="F292" s="46"/>
    </row>
    <row r="293" spans="2:11" ht="13.5">
      <c r="B293" s="46"/>
      <c r="C293" s="48" t="s">
        <v>288</v>
      </c>
      <c r="D293" s="105" t="s">
        <v>94</v>
      </c>
      <c r="E293" s="46"/>
      <c r="F293" s="92" t="s">
        <v>289</v>
      </c>
      <c r="G293" s="41"/>
      <c r="H293" s="41"/>
      <c r="I293" s="41"/>
      <c r="J293" s="41"/>
      <c r="K293" s="41"/>
    </row>
    <row r="294" spans="2:6" s="3" customFormat="1" ht="13.5">
      <c r="B294" s="45"/>
      <c r="C294" s="73"/>
      <c r="D294" s="111"/>
      <c r="E294" s="45"/>
      <c r="F294" s="30"/>
    </row>
    <row r="296" spans="2:12" ht="12.75">
      <c r="B296" s="172" t="s">
        <v>290</v>
      </c>
      <c r="C296" s="172"/>
      <c r="D296" s="172"/>
      <c r="E296" s="172"/>
      <c r="F296" s="172"/>
      <c r="G296" s="173"/>
      <c r="H296" s="173"/>
      <c r="I296" s="173"/>
      <c r="J296" s="173"/>
      <c r="K296" s="173"/>
      <c r="L296" s="173"/>
    </row>
    <row r="298" ht="12.75">
      <c r="B298" s="174" t="s">
        <v>291</v>
      </c>
    </row>
    <row r="300" spans="2:14" ht="45.75" customHeight="1">
      <c r="B300" s="305" t="s">
        <v>292</v>
      </c>
      <c r="C300" s="305"/>
      <c r="D300" s="305"/>
      <c r="E300" s="305"/>
      <c r="F300" s="305"/>
      <c r="G300" s="305"/>
      <c r="I300" s="306" t="s">
        <v>293</v>
      </c>
      <c r="J300" s="307"/>
      <c r="K300" s="307"/>
      <c r="L300" s="307"/>
      <c r="M300" s="307"/>
      <c r="N300" s="307"/>
    </row>
    <row r="301" spans="2:14" ht="33.75" customHeight="1">
      <c r="B301" s="305" t="s">
        <v>294</v>
      </c>
      <c r="C301" s="305"/>
      <c r="D301" s="305"/>
      <c r="E301" s="305"/>
      <c r="F301" s="305"/>
      <c r="G301" s="305"/>
      <c r="I301" s="176"/>
      <c r="J301" s="176"/>
      <c r="K301" s="176"/>
      <c r="L301" s="176"/>
      <c r="M301" s="176"/>
      <c r="N301" s="176"/>
    </row>
    <row r="302" spans="2:14" ht="36.75" customHeight="1">
      <c r="B302" s="305" t="s">
        <v>295</v>
      </c>
      <c r="C302" s="305"/>
      <c r="D302" s="305"/>
      <c r="E302" s="305"/>
      <c r="F302" s="305"/>
      <c r="G302" s="305"/>
      <c r="I302" s="308" t="s">
        <v>296</v>
      </c>
      <c r="J302" s="305"/>
      <c r="K302" s="305"/>
      <c r="L302" s="305"/>
      <c r="M302" s="305"/>
      <c r="N302" s="305"/>
    </row>
    <row r="303" spans="2:14" ht="41.25" customHeight="1">
      <c r="B303" s="305" t="s">
        <v>297</v>
      </c>
      <c r="C303" s="305"/>
      <c r="D303" s="305"/>
      <c r="E303" s="305"/>
      <c r="F303" s="305"/>
      <c r="G303" s="305"/>
      <c r="I303" s="177"/>
      <c r="J303" s="178"/>
      <c r="K303" s="178"/>
      <c r="L303" s="178"/>
      <c r="M303" s="178"/>
      <c r="N303" s="178"/>
    </row>
    <row r="304" spans="2:10" ht="12.75" customHeight="1">
      <c r="B304" s="175"/>
      <c r="C304" s="175"/>
      <c r="D304" s="175"/>
      <c r="E304" s="175"/>
      <c r="F304" s="175"/>
      <c r="G304" s="175"/>
      <c r="I304" s="179"/>
      <c r="J304" s="14" t="s">
        <v>444</v>
      </c>
    </row>
    <row r="305" spans="2:7" ht="12.75" customHeight="1">
      <c r="B305" s="175"/>
      <c r="C305" s="175"/>
      <c r="D305" s="175"/>
      <c r="E305" s="175"/>
      <c r="F305" s="175"/>
      <c r="G305" s="175"/>
    </row>
    <row r="306" spans="4:17" ht="13.5" thickBot="1">
      <c r="D306" s="180" t="s">
        <v>298</v>
      </c>
      <c r="E306" s="181"/>
      <c r="F306" s="181"/>
      <c r="G306" s="181"/>
      <c r="H306" s="181"/>
      <c r="I306" s="181"/>
      <c r="J306" s="181"/>
      <c r="K306" s="182"/>
      <c r="L306" s="183" t="s">
        <v>299</v>
      </c>
      <c r="M306" s="183"/>
      <c r="N306" s="184"/>
      <c r="O306" s="181" t="s">
        <v>300</v>
      </c>
      <c r="P306" s="181"/>
      <c r="Q306" s="185"/>
    </row>
    <row r="307" spans="2:17" ht="12.75">
      <c r="B307" s="11" t="s">
        <v>301</v>
      </c>
      <c r="C307" s="3"/>
      <c r="D307" s="186" t="s">
        <v>53</v>
      </c>
      <c r="E307" s="187" t="s">
        <v>54</v>
      </c>
      <c r="F307" s="187" t="s">
        <v>102</v>
      </c>
      <c r="G307" s="187" t="s">
        <v>51</v>
      </c>
      <c r="H307" s="187" t="s">
        <v>302</v>
      </c>
      <c r="I307" s="187" t="s">
        <v>303</v>
      </c>
      <c r="J307" s="187" t="s">
        <v>304</v>
      </c>
      <c r="K307" s="188" t="s">
        <v>200</v>
      </c>
      <c r="L307" s="189" t="s">
        <v>305</v>
      </c>
      <c r="M307" s="190" t="s">
        <v>306</v>
      </c>
      <c r="N307" s="191" t="s">
        <v>307</v>
      </c>
      <c r="O307" s="192" t="s">
        <v>308</v>
      </c>
      <c r="P307" s="187" t="s">
        <v>309</v>
      </c>
      <c r="Q307" s="185"/>
    </row>
    <row r="308" spans="4:17" ht="12.75">
      <c r="D308" s="185"/>
      <c r="E308" s="193"/>
      <c r="F308" s="193"/>
      <c r="G308" s="193"/>
      <c r="H308" s="193"/>
      <c r="I308" s="193"/>
      <c r="J308" s="193"/>
      <c r="K308" s="193"/>
      <c r="L308" s="193"/>
      <c r="M308" s="193"/>
      <c r="N308" s="193"/>
      <c r="O308" s="193"/>
      <c r="P308" s="193"/>
      <c r="Q308" s="185"/>
    </row>
    <row r="309" spans="2:17" ht="12.75">
      <c r="B309" t="s">
        <v>31</v>
      </c>
      <c r="C309" s="194" t="s">
        <v>310</v>
      </c>
      <c r="D309" s="195">
        <f>IF($D$51="A",$D$51,"")</f>
      </c>
      <c r="E309" s="196">
        <f>IF($D$51="B",$D$51,"")</f>
      </c>
      <c r="F309" s="196">
        <f>IF($D$51="C",$D$51,"")</f>
      </c>
      <c r="G309" s="196" t="str">
        <f>IF($D$51="D",$D$51,"")</f>
        <v>D</v>
      </c>
      <c r="H309" s="196">
        <f>IF($D$51="E",$D$51,"")</f>
      </c>
      <c r="I309" s="196">
        <f>IF($D$51="F",$D$51,"")</f>
      </c>
      <c r="J309" s="196">
        <f>IF($D$51="G",$D$51,"")</f>
      </c>
      <c r="K309" s="196">
        <f>IF($D$51="H",$D$51,"")</f>
      </c>
      <c r="L309" s="197"/>
      <c r="M309" s="197"/>
      <c r="N309" s="197"/>
      <c r="O309" s="197"/>
      <c r="P309" s="197"/>
      <c r="Q309" s="185"/>
    </row>
    <row r="310" spans="3:17" ht="12.75">
      <c r="C310" t="s">
        <v>311</v>
      </c>
      <c r="D310" s="185" t="str">
        <f>IF($F$51="A",$F$51,"")</f>
        <v>A</v>
      </c>
      <c r="E310" s="193">
        <f>IF($F$51="B",$F$51,"")</f>
      </c>
      <c r="F310" s="193">
        <f>IF($F$51="C",$F$51,"")</f>
      </c>
      <c r="G310" s="193">
        <f>IF($F$51="D",$F$51,"")</f>
      </c>
      <c r="H310" s="193">
        <f>IF($F$51="E",$F$51,"")</f>
      </c>
      <c r="I310" s="193">
        <f>IF($F$51="F",$F$51,"")</f>
      </c>
      <c r="J310" s="193">
        <f>IF($F$51="G",$F$51,"")</f>
      </c>
      <c r="K310" s="193">
        <f>IF($F$51="H",$F$51,"")</f>
      </c>
      <c r="L310" s="197"/>
      <c r="M310" s="197"/>
      <c r="N310" s="197"/>
      <c r="O310" s="197"/>
      <c r="P310" s="197"/>
      <c r="Q310" s="185"/>
    </row>
    <row r="311" spans="3:17" ht="12.75">
      <c r="C311" s="198" t="s">
        <v>312</v>
      </c>
      <c r="D311" s="199"/>
      <c r="E311" s="200"/>
      <c r="F311" s="200"/>
      <c r="G311" s="200"/>
      <c r="H311" s="200"/>
      <c r="I311" s="200"/>
      <c r="J311" s="200"/>
      <c r="K311" s="200"/>
      <c r="L311" s="197"/>
      <c r="M311" s="197"/>
      <c r="N311" s="197"/>
      <c r="O311" s="197"/>
      <c r="P311" s="197"/>
      <c r="Q311" s="185"/>
    </row>
    <row r="312" spans="3:17" ht="12.75">
      <c r="C312" t="s">
        <v>313</v>
      </c>
      <c r="D312" s="185">
        <f>IF($I$51="A",$I$51,"")</f>
      </c>
      <c r="E312" s="193" t="str">
        <f>IF($I$51="B",$I$51,"")</f>
        <v>B</v>
      </c>
      <c r="F312" s="193">
        <f>IF($I$51="C",$I$51,"")</f>
      </c>
      <c r="G312" s="193">
        <f>IF($I$51="D",$I$51,"")</f>
      </c>
      <c r="H312" s="193">
        <f>IF($I$51="E",$I$51,"")</f>
      </c>
      <c r="I312" s="193">
        <f>IF($I$51="F",$I$51,"")</f>
      </c>
      <c r="J312" s="193">
        <f>IF($I$51="G",$I$51,"")</f>
      </c>
      <c r="K312" s="193">
        <f>IF($I$51="H",$I$51,"")</f>
      </c>
      <c r="L312" s="197"/>
      <c r="M312" s="197"/>
      <c r="N312" s="197"/>
      <c r="O312" s="197"/>
      <c r="P312" s="197"/>
      <c r="Q312" s="185"/>
    </row>
    <row r="313" spans="4:17" ht="12.75">
      <c r="D313" s="185"/>
      <c r="E313" s="193"/>
      <c r="F313" s="193"/>
      <c r="G313" s="193"/>
      <c r="H313" s="193"/>
      <c r="I313" s="193"/>
      <c r="J313" s="193"/>
      <c r="K313" s="193"/>
      <c r="L313" s="193"/>
      <c r="M313" s="193"/>
      <c r="N313" s="193"/>
      <c r="O313" s="193"/>
      <c r="P313" s="193"/>
      <c r="Q313" s="185"/>
    </row>
    <row r="314" spans="2:17" ht="12.75">
      <c r="B314" t="s">
        <v>89</v>
      </c>
      <c r="C314" s="194"/>
      <c r="D314" s="195">
        <f>IF($D$95="ON/OFF",IF($D$97="A",$D$97&amp;" "&amp;$D$98,""),"")</f>
      </c>
      <c r="E314" s="196">
        <f>IF($D$95="ON/OFF",IF($D$97="B",$D$97&amp;" "&amp;$D$98,""),"")</f>
      </c>
      <c r="F314" s="196">
        <f>IF($D$95="ON/OFF",IF($D$97="C",$D$97&amp;" "&amp;$D$98,""),"")</f>
      </c>
      <c r="G314" s="196">
        <f>IF($D$95="ON/OFF",IF($D$97="D",$D$97&amp;" "&amp;$D$98,""),"")</f>
      </c>
      <c r="H314" s="196">
        <f>IF($D$95="ON/OFF",IF($D$97="E",$D$97&amp;" "&amp;$D$98,""),"")</f>
      </c>
      <c r="I314" s="196">
        <f>IF($D$95="ON/OFF",IF($D$97="F",$D$97&amp;" "&amp;$D$98,""),"")</f>
      </c>
      <c r="J314" s="196">
        <f>IF($D$95="ON/OFF",IF($D$97="G",$D$97&amp;" "&amp;$D$98,""),"")</f>
      </c>
      <c r="K314" s="196">
        <f>IF($D$95="ON/OFF",IF($D$97="H",$D$97&amp;" "&amp;$D$98,""),"")</f>
      </c>
      <c r="L314" s="197"/>
      <c r="M314" s="197"/>
      <c r="N314" s="197"/>
      <c r="O314" s="197"/>
      <c r="P314" s="197"/>
      <c r="Q314" s="185"/>
    </row>
    <row r="315" spans="4:17" ht="12.75">
      <c r="D315" s="185"/>
      <c r="E315" s="193"/>
      <c r="F315" s="193"/>
      <c r="G315" s="193"/>
      <c r="H315" s="193"/>
      <c r="I315" s="193"/>
      <c r="J315" s="193"/>
      <c r="K315" s="193"/>
      <c r="L315" s="193"/>
      <c r="M315" s="193"/>
      <c r="N315" s="193"/>
      <c r="O315" s="193"/>
      <c r="P315" s="193"/>
      <c r="Q315" s="185"/>
    </row>
    <row r="316" spans="2:17" ht="12.75">
      <c r="B316" t="s">
        <v>100</v>
      </c>
      <c r="C316" s="198"/>
      <c r="D316" s="199">
        <f>IF($D$102="ON/OFF",IF($D$104="A",$D$104&amp;" "&amp;$D$105,""),"")</f>
      </c>
      <c r="E316" s="200">
        <f>IF($D$102="ON/OFF",IF($D$104="B",$D$104&amp;" "&amp;$D$105,""),"")</f>
      </c>
      <c r="F316" s="200">
        <f>IF($D$102="ON/OFF",IF($D$104="C",$D$104&amp;" "&amp;$D$105,""),"")</f>
      </c>
      <c r="G316" s="200">
        <f>IF($D$102="ON/OFF",IF($D$104="D",$D$104&amp;" "&amp;$D$105,""),"")</f>
      </c>
      <c r="H316" s="200">
        <f>IF($D$102="ON/OFF",IF($D$104="E",$D$104&amp;" "&amp;$D$105,""),"")</f>
      </c>
      <c r="I316" s="200">
        <f>IF($D$102="ON/OFF",IF($D$104="f",$D$104&amp;" "&amp;$D$105,""),"")</f>
      </c>
      <c r="J316" s="200">
        <f>IF($D$102="ON/OFF",IF($D$104="G",$D$104&amp;" "&amp;$D$105,""),"")</f>
      </c>
      <c r="K316" s="200">
        <f>IF($D$102="ON/OFF",IF($D$104="h",$D$104&amp;" "&amp;$D$105,""),"")</f>
      </c>
      <c r="L316" s="197"/>
      <c r="M316" s="197"/>
      <c r="N316" s="197"/>
      <c r="O316" s="197"/>
      <c r="P316" s="197"/>
      <c r="Q316" s="185"/>
    </row>
    <row r="317" spans="4:17" ht="12.75">
      <c r="D317" s="185"/>
      <c r="E317" s="193"/>
      <c r="F317" s="193"/>
      <c r="G317" s="193"/>
      <c r="H317" s="193"/>
      <c r="I317" s="193"/>
      <c r="J317" s="193"/>
      <c r="K317" s="193"/>
      <c r="L317" s="193"/>
      <c r="M317" s="193"/>
      <c r="N317" s="193"/>
      <c r="O317" s="193"/>
      <c r="P317" s="193"/>
      <c r="Q317" s="185"/>
    </row>
    <row r="318" spans="2:17" ht="12.75">
      <c r="B318" t="s">
        <v>113</v>
      </c>
      <c r="C318" s="194" t="s">
        <v>114</v>
      </c>
      <c r="D318" s="195">
        <f>IF($D$118="Sw-A",$D$118,"")</f>
      </c>
      <c r="E318" s="196">
        <f>IF($D$118="Sw-B",$D$118,"")</f>
      </c>
      <c r="F318" s="196">
        <f>IF($D$118="Sw-C",$D$118,"")</f>
      </c>
      <c r="G318" s="196">
        <f>IF($D$118="Sw-D",$D$118,"")</f>
      </c>
      <c r="H318" s="196" t="str">
        <f>IF($D$118="Sw-E",$D$118,"")</f>
        <v>Sw-E</v>
      </c>
      <c r="I318" s="196">
        <f>IF($D$118="Sw-F",$D$118,"")</f>
      </c>
      <c r="J318" s="196">
        <f>IF($D$118="Sw-G",$D$118,"")</f>
      </c>
      <c r="K318" s="196">
        <f>IF($D$118="Sw-H",$D$118,"")</f>
      </c>
      <c r="L318" s="196">
        <f>IF($D$118="Vr-A",$D$118,"")</f>
      </c>
      <c r="M318" s="196">
        <f>IF($D$118="Vr-B",$D$118,"")</f>
      </c>
      <c r="N318" s="196">
        <f>IF($D$118="Vr-C",$D$118,"")</f>
      </c>
      <c r="O318" s="196">
        <f>IF($D$118="Vr-D",$D$118,"")</f>
      </c>
      <c r="P318" s="196">
        <f>IF($D$118="Vr-E",$D$118,"")</f>
      </c>
      <c r="Q318" s="185"/>
    </row>
    <row r="319" spans="3:17" ht="12.75">
      <c r="C319" t="s">
        <v>117</v>
      </c>
      <c r="D319" s="185">
        <f>IF($D$119="Sw-A",$D$119,"")</f>
      </c>
      <c r="E319" s="193">
        <f>IF($D$119="Sw-B",$D$119,"")</f>
      </c>
      <c r="F319" s="193">
        <f>IF($D$119="Sw-C",$D$119,"")</f>
      </c>
      <c r="G319" s="193">
        <f>IF($D$119="Sw-D",$D$119,"")</f>
      </c>
      <c r="H319" s="193">
        <f>IF($D$119="Sw-E",$D$119,"")</f>
      </c>
      <c r="I319" s="193">
        <f>IF($D$119="Sw-F",$D$119,"")</f>
      </c>
      <c r="J319" s="193">
        <f>IF($D$119="Sw-G",$D$119,"")</f>
      </c>
      <c r="K319" s="193">
        <f>IF($D$119="Sw-H",$D$119,"")</f>
      </c>
      <c r="L319" s="193" t="str">
        <f>IF($D$119="Vr-A",$D$119,"")</f>
        <v>Vr-A</v>
      </c>
      <c r="M319" s="193">
        <f>IF($D$119="Vr-B",$D$119,"")</f>
      </c>
      <c r="N319" s="193">
        <f>IF($D$119="Vr-C",$D$119,"")</f>
      </c>
      <c r="O319" s="193">
        <f>IF($D$119="Vr-D",$D$119,"")</f>
      </c>
      <c r="P319" s="193">
        <f>IF($D$119="Vr-E",$D$119,"")</f>
      </c>
      <c r="Q319" s="185"/>
    </row>
    <row r="320" spans="3:17" ht="12.75">
      <c r="C320" s="198" t="s">
        <v>119</v>
      </c>
      <c r="D320" s="199">
        <f>IF($D$120="Sw-A",$D$120,"")</f>
      </c>
      <c r="E320" s="200">
        <f>IF($D$120="Sw-B",$D$120,"")</f>
      </c>
      <c r="F320" s="200">
        <f>IF($D$120="Sw-C",$D$120,"")</f>
      </c>
      <c r="G320" s="200">
        <f>IF($D$120="Sw-D",$D$120,"")</f>
      </c>
      <c r="H320" s="200">
        <f>IF($D$120="Sw-E",$D$120,"")</f>
      </c>
      <c r="I320" s="200">
        <f>IF($D$120="Sw-F",$D$120,"")</f>
      </c>
      <c r="J320" s="200">
        <f>IF($D$120="Sw-G",$D$120,"")</f>
      </c>
      <c r="K320" s="200">
        <f>IF($D$120="Sw-H",$D$120,"")</f>
      </c>
      <c r="L320" s="200">
        <f>IF($D$120="Vr-A",$D$120,"")</f>
      </c>
      <c r="M320" s="200" t="str">
        <f>IF($D$120="Vr-B",$D$120,"")</f>
        <v>Vr-B</v>
      </c>
      <c r="N320" s="200">
        <f>IF($D$120="Vr-C",$D$120,"")</f>
      </c>
      <c r="O320" s="200">
        <f>IF($D$120="Vr-D",$D$120,"")</f>
      </c>
      <c r="P320" s="200">
        <f>IF($D$120="Vr-E",$D$120,"")</f>
      </c>
      <c r="Q320" s="185"/>
    </row>
    <row r="321" spans="3:17" ht="12.75">
      <c r="C321" t="s">
        <v>121</v>
      </c>
      <c r="D321" s="185">
        <f>IF($D$121="Sw-A",$D$121,"")</f>
      </c>
      <c r="E321" s="193">
        <f>IF($D$121="Sw-B",$D$121,"")</f>
      </c>
      <c r="F321" s="193">
        <f>IF($D$121="Sw-C",$D$121,"")</f>
      </c>
      <c r="G321" s="193">
        <f>IF($D$121="Sw-D",$D$121,"")</f>
      </c>
      <c r="H321" s="193">
        <f>IF($D$121="Sw-E",$D$121,"")</f>
      </c>
      <c r="I321" s="193">
        <f>IF($D$121="Sw-F",$D$121,"")</f>
      </c>
      <c r="J321" s="193">
        <f>IF($D$121="Sw-G",$D$121,"")</f>
      </c>
      <c r="K321" s="193">
        <f>IF($D$121="Sw-H",$D$121,"")</f>
      </c>
      <c r="L321" s="193">
        <f>IF($D$121="Vr-A",$D$121,"")</f>
      </c>
      <c r="M321" s="193">
        <f>IF($D$121="Vr-B",$D$121,"")</f>
      </c>
      <c r="N321" s="193" t="str">
        <f>IF($D$121="Vr-C",$D$121,"")</f>
        <v>Vr-C</v>
      </c>
      <c r="O321" s="193">
        <f>IF($D$121="Vr-D",$D$121,"")</f>
      </c>
      <c r="P321" s="193">
        <f>IF($D$121="Vr-E",$D$121,"")</f>
      </c>
      <c r="Q321" s="185"/>
    </row>
    <row r="322" spans="3:17" ht="12.75">
      <c r="C322" s="201" t="str">
        <f>IF(D128="PCM","CH9&gt;","ch9(pcm)")</f>
        <v>ch9(pcm)</v>
      </c>
      <c r="D322" s="195">
        <f>IF($D$128="PCM",IF($D$122="Sw-A",$D$122,""),"")</f>
      </c>
      <c r="E322" s="196">
        <f>IF($D$128="PCM",IF($D$122="Sw-B",$D$122,""),"")</f>
      </c>
      <c r="F322" s="196">
        <f>IF($D$128="PCM",IF($D$122="Sw-V",$D$122,""),"")</f>
      </c>
      <c r="G322" s="196">
        <f>IF($D$128="PCM",IF($D$122="Sw-D",$D$122,""),"")</f>
      </c>
      <c r="H322" s="196">
        <f>IF($D$128="PCM",IF($D$122="Sw-E",$D$122,""),"")</f>
      </c>
      <c r="I322" s="196">
        <f>IF($D$128="PCM",IF($D$122="Sw-F",$D$122,""),"")</f>
      </c>
      <c r="J322" s="196">
        <f>IF($D$128="PCM",IF($D$122="Sw-G",$D$122,""),"")</f>
      </c>
      <c r="K322" s="196">
        <f>IF($D$128="PCM",IF($D$122="Sw-H",$D$122,""),"")</f>
      </c>
      <c r="L322" s="196"/>
      <c r="M322" s="196"/>
      <c r="N322" s="196"/>
      <c r="O322" s="196"/>
      <c r="P322" s="196"/>
      <c r="Q322" s="185"/>
    </row>
    <row r="323" spans="4:17" ht="12.75">
      <c r="D323" s="185"/>
      <c r="E323" s="193"/>
      <c r="F323" s="193"/>
      <c r="G323" s="193"/>
      <c r="H323" s="193"/>
      <c r="I323" s="193"/>
      <c r="J323" s="193"/>
      <c r="K323" s="193"/>
      <c r="L323" s="193"/>
      <c r="M323" s="193"/>
      <c r="N323" s="193"/>
      <c r="O323" s="193"/>
      <c r="P323" s="193"/>
      <c r="Q323" s="185"/>
    </row>
    <row r="324" spans="2:17" ht="12.75">
      <c r="B324" t="s">
        <v>141</v>
      </c>
      <c r="C324" s="198" t="s">
        <v>314</v>
      </c>
      <c r="D324" s="199">
        <f>IF($D$137&lt;&gt;"NULL",IF($D$136="A",$D$136&amp;" "&amp;$D$137,""),"")</f>
      </c>
      <c r="E324" s="200">
        <f>IF($D$137&lt;&gt;"NULL",IF($D$136="B",$D$136&amp;" "&amp;$D$137,""),"")</f>
      </c>
      <c r="F324" s="200">
        <f>IF($D$137&lt;&gt;"NULL",IF($D$136="C",$D$136&amp;" "&amp;$D$137,""),"")</f>
      </c>
      <c r="G324" s="200">
        <f>IF($D$137&lt;&gt;"NULL",IF($D$136="D",$D$136&amp;" "&amp;$D$137,""),"")</f>
      </c>
      <c r="H324" s="200">
        <f>IF($D$137&lt;&gt;"NULL",IF($D$136="E",$D$136&amp;" "&amp;$D$137,""),"")</f>
      </c>
      <c r="I324" s="200">
        <f>IF($D$137&lt;&gt;"NULL",IF($D$136="F",$D$136&amp;" "&amp;$D$137,""),"")</f>
      </c>
      <c r="J324" s="200">
        <f>IF($D$137&lt;&gt;"NULL",IF($D$136="G",$D$136&amp;" "&amp;$D$137,""),"")</f>
      </c>
      <c r="K324" s="200">
        <f>IF($D$137&lt;&gt;"NULL",IF($D$136="H",$D$136&amp;" "&amp;$D$137,""),"")</f>
      </c>
      <c r="L324" s="197"/>
      <c r="M324" s="197"/>
      <c r="N324" s="197"/>
      <c r="O324" s="197"/>
      <c r="P324" s="197"/>
      <c r="Q324" s="185"/>
    </row>
    <row r="325" spans="3:17" ht="12.75">
      <c r="C325" s="3" t="s">
        <v>315</v>
      </c>
      <c r="D325" s="202">
        <f>IF($E$137&lt;&gt;"NULL",IF($E$136="A",$E$136&amp;" "&amp;$E$137,""),"")</f>
      </c>
      <c r="E325" s="203">
        <f>IF($E$137&lt;&gt;"NULL",IF($E$136="B",$E$136&amp;" "&amp;$E$137,""),"")</f>
      </c>
      <c r="F325" s="203">
        <f>IF($E$137&lt;&gt;"NULL",IF($E$136="C",$E$136&amp;" "&amp;$E$137,""),"")</f>
      </c>
      <c r="G325" s="203">
        <f>IF($E$137&lt;&gt;"NULL",IF($E$136="D",$E$136&amp;" "&amp;$E$137,""),"")</f>
      </c>
      <c r="H325" s="203">
        <f>IF($E$137&lt;&gt;"NULL",IF($E$136="E",$E$136&amp;" "&amp;$E$137,""),"")</f>
      </c>
      <c r="I325" s="203">
        <f>IF($E$137&lt;&gt;"NULL",IF($E$136="F",$E$136&amp;" "&amp;$E$137,""),"")</f>
      </c>
      <c r="J325" s="203">
        <f>IF($E$137&lt;&gt;"NULL",IF($E$136="G",$E$136&amp;" "&amp;$E$137,""),"")</f>
      </c>
      <c r="K325" s="203">
        <f>IF($E$137&lt;&gt;"NULL",IF($E$136="H",$E$136&amp;" "&amp;$E$137,""),"")</f>
      </c>
      <c r="L325" s="197"/>
      <c r="M325" s="197"/>
      <c r="N325" s="197"/>
      <c r="O325" s="197"/>
      <c r="P325" s="197"/>
      <c r="Q325" s="185"/>
    </row>
    <row r="326" spans="4:17" ht="12.75">
      <c r="D326" s="185"/>
      <c r="E326" s="193"/>
      <c r="F326" s="193"/>
      <c r="G326" s="193"/>
      <c r="H326" s="193"/>
      <c r="I326" s="193"/>
      <c r="J326" s="193"/>
      <c r="K326" s="193"/>
      <c r="L326" s="193"/>
      <c r="M326" s="193"/>
      <c r="N326" s="193"/>
      <c r="O326" s="193"/>
      <c r="P326" s="193"/>
      <c r="Q326" s="185"/>
    </row>
    <row r="327" spans="2:17" ht="12.75">
      <c r="B327" t="s">
        <v>150</v>
      </c>
      <c r="C327" s="194"/>
      <c r="D327" s="204"/>
      <c r="E327" s="197"/>
      <c r="F327" s="197"/>
      <c r="G327" s="197"/>
      <c r="H327" s="197"/>
      <c r="I327" s="196">
        <f>IF($B$142="ON/OFF","Trainer",IF($D$274="ON/OFF","Snap!",""))</f>
      </c>
      <c r="J327" s="197"/>
      <c r="K327" s="197"/>
      <c r="L327" s="197"/>
      <c r="M327" s="197"/>
      <c r="N327" s="197"/>
      <c r="O327" s="197"/>
      <c r="P327" s="197"/>
      <c r="Q327" s="185"/>
    </row>
    <row r="328" spans="4:17" ht="12.75">
      <c r="D328" s="185"/>
      <c r="E328" s="193"/>
      <c r="F328" s="193"/>
      <c r="G328" s="193"/>
      <c r="H328" s="193"/>
      <c r="I328" s="193"/>
      <c r="J328" s="193"/>
      <c r="K328" s="193"/>
      <c r="L328" s="193"/>
      <c r="M328" s="193"/>
      <c r="N328" s="193"/>
      <c r="O328" s="193"/>
      <c r="P328" s="193"/>
      <c r="Q328" s="185"/>
    </row>
    <row r="329" spans="2:17" ht="12.75">
      <c r="B329" t="s">
        <v>316</v>
      </c>
      <c r="C329" s="198" t="str">
        <f>"1"</f>
        <v>1</v>
      </c>
      <c r="D329" s="199">
        <f>IF($D$159="ON",IF($D$165&lt;&gt;"NULL",IF($D$164="A",$D$164&amp;" "&amp;$D$165,""),""),"")</f>
      </c>
      <c r="E329" s="200">
        <f>IF($D$159="ON",IF($D$165&lt;&gt;"NULL",IF($D$164="B",$D$164&amp;" "&amp;$D$165,""),""),"")</f>
      </c>
      <c r="F329" s="200">
        <f>IF($D$159="ON",IF($D$165&lt;&gt;"NULL",IF($D$164="C",$D$164&amp;" "&amp;$D$165,""),""),"")</f>
      </c>
      <c r="G329" s="200">
        <f>IF($D$159="ON",IF($D$165&lt;&gt;"NULL",IF($D$164="D",$D$164&amp;" "&amp;$D$165,""),""),"")</f>
      </c>
      <c r="H329" s="200">
        <f>IF($D$159="ON",IF($D$165&lt;&gt;"NULL",IF($D$164="E",$D$164&amp;" "&amp;$D$165,""),""),"")</f>
      </c>
      <c r="I329" s="200">
        <f>IF($D$159="ON",IF($D$165&lt;&gt;"NULL",IF($D$164="F",$D$164&amp;" "&amp;$D$165,""),""),"")</f>
      </c>
      <c r="J329" s="200">
        <f>IF($D$159="ON",IF($D$165&lt;&gt;"NULL",IF($D$164="G",$D$164&amp;" "&amp;$D$165,""),""),"")</f>
      </c>
      <c r="K329" s="200">
        <f>IF($D$159="ON",IF($D$165&lt;&gt;"NULL",IF($D$164="H",$D$164&amp;" "&amp;$D$165,""),""),"")</f>
      </c>
      <c r="L329" s="197"/>
      <c r="M329" s="197"/>
      <c r="N329" s="197"/>
      <c r="O329" s="197">
        <f>IF($D$159="ON",IF($D$160="VrD",$D$160&amp;" "&amp;"master",""),"")</f>
      </c>
      <c r="P329" s="197">
        <f>IF($D$159="ON",IF($D$160="VrE",$D$160&amp;" "&amp;"master",""),"")</f>
      </c>
      <c r="Q329" s="185"/>
    </row>
    <row r="330" spans="3:17" ht="12.75">
      <c r="C330" t="str">
        <f>"2"</f>
        <v>2</v>
      </c>
      <c r="D330" s="185">
        <f>IF($H$159="ON",IF($H$165&lt;&gt;"NULL",IF($H$164="A",$H$164&amp;" "&amp;$H$165,""),""),"")</f>
      </c>
      <c r="E330" s="193">
        <f>IF($H$159="ON",IF($H$165&lt;&gt;"NULL",IF($H$164="B",$H$164&amp;" "&amp;$H$165,""),""),"")</f>
      </c>
      <c r="F330" s="193">
        <f>IF($H$159="ON",IF($H$165&lt;&gt;"NULL",IF($H$164="C",$H$164&amp;" "&amp;$H$165,""),""),"")</f>
      </c>
      <c r="G330" s="193">
        <f>IF($H$159="ON",IF($H$165&lt;&gt;"NULL",IF($H$164="D",$H$164&amp;" "&amp;$H$165,""),""),"")</f>
      </c>
      <c r="H330" s="193">
        <f>IF($H$159="ON",IF($H$165&lt;&gt;"NULL",IF($H$164="E",$H$164&amp;" "&amp;$H$165,""),""),"")</f>
      </c>
      <c r="I330" s="193">
        <f>IF($H$159="ON",IF($H$165&lt;&gt;"NULL",IF($H$164="F",$H$164&amp;" "&amp;$H$165,""),""),"")</f>
      </c>
      <c r="J330" s="193">
        <f>IF($H$159="ON",IF($H$165&lt;&gt;"NULL",IF($H$164="G",$H$164&amp;" "&amp;$H$165,""),""),"")</f>
      </c>
      <c r="K330" s="193">
        <f>IF($H$159="ON",IF($H$165&lt;&gt;"NULL",IF($H$164="H",$H$164&amp;" "&amp;$H$165,""),""),"")</f>
      </c>
      <c r="L330" s="197"/>
      <c r="M330" s="197"/>
      <c r="N330" s="197"/>
      <c r="O330" s="197">
        <f>IF($H$159="ON",IF($H$160="VrD",$H$160&amp;" "&amp;"master",""),"")</f>
      </c>
      <c r="P330" s="197">
        <f>IF($H$159="ON",IF($H$160="VrE",$H$160&amp;" "&amp;"master",""),"")</f>
      </c>
      <c r="Q330" s="185"/>
    </row>
    <row r="331" spans="3:17" ht="12.75">
      <c r="C331" s="194" t="str">
        <f>"3"</f>
        <v>3</v>
      </c>
      <c r="D331" s="195">
        <f>IF($D$174="ON",IF($D$180&lt;&gt;"NULL",IF($D$179="A",$D$179&amp;" "&amp;$D$180,""),""),"")</f>
      </c>
      <c r="E331" s="196">
        <f>IF($D$174="ON",IF($D$180&lt;&gt;"NULL",IF($D$179="B",$D$179&amp;" "&amp;$D$180,""),""),"")</f>
      </c>
      <c r="F331" s="196">
        <f>IF($D$174="ON",IF($D$180&lt;&gt;"NULL",IF($D$179="C",$D$179&amp;" "&amp;$D$180,""),""),"")</f>
      </c>
      <c r="G331" s="196">
        <f>IF($D$174="ON",IF($D$180&lt;&gt;"NULL",IF($D$179="D",$D$179&amp;" "&amp;$D$180,""),""),"")</f>
      </c>
      <c r="H331" s="196">
        <f>IF($D$174="ON",IF($D$180&lt;&gt;"NULL",IF($D$179="E",$D$179&amp;" "&amp;$D$180,""),""),"")</f>
      </c>
      <c r="I331" s="196">
        <f>IF($D$174="ON",IF($D$180&lt;&gt;"NULL",IF($D$179="F",$D$179&amp;" "&amp;$D$180,""),""),"")</f>
      </c>
      <c r="J331" s="196">
        <f>IF($D$174="ON",IF($D$180&lt;&gt;"NULL",IF($D$179="G",$D$179&amp;" "&amp;$D$180,""),""),"")</f>
      </c>
      <c r="K331" s="196">
        <f>IF($D$174="ON",IF($D$180&lt;&gt;"NULL",IF($D$179="H",$D$179&amp;" "&amp;$D$180,""),""),"")</f>
      </c>
      <c r="L331" s="197"/>
      <c r="M331" s="197"/>
      <c r="N331" s="197"/>
      <c r="O331" s="197">
        <f>IF($D$174="ON",IF($D$175="VrD",$D$175&amp;" "&amp;"master",""),"")</f>
      </c>
      <c r="P331" s="197">
        <f>IF($D$174="ON",IF($D$175="VrE",$D$175&amp;" "&amp;"master",""),"")</f>
      </c>
      <c r="Q331" s="185"/>
    </row>
    <row r="332" spans="3:17" ht="12.75">
      <c r="C332" t="str">
        <f>"4"</f>
        <v>4</v>
      </c>
      <c r="D332" s="185">
        <f>IF($H$174="ON",IF($D$180&lt;&gt;"NULL",IF($H$179="A",$H$179&amp;" "&amp;$H$180,""),""),"")</f>
      </c>
      <c r="E332" s="193">
        <f>IF($H$174="ON",IF($D$180&lt;&gt;"NULL",IF($H$179="B",$H$179&amp;" "&amp;$H$180,""),""),"")</f>
      </c>
      <c r="F332" s="193">
        <f>IF($H$174="ON",IF($D$180&lt;&gt;"NULL",IF($H$179="C",$H$179&amp;" "&amp;$H$180,""),""),"")</f>
      </c>
      <c r="G332" s="193">
        <f>IF($H$174="ON",IF($D$180&lt;&gt;"NULL",IF($H$179="D",$H$179&amp;" "&amp;$H$180,""),""),"")</f>
      </c>
      <c r="H332" s="193">
        <f>IF($H$174="ON",IF($D$180&lt;&gt;"NULL",IF($H$179="E",$H$179&amp;" "&amp;$H$180,""),""),"")</f>
      </c>
      <c r="I332" s="193">
        <f>IF($H$174="ON",IF($D$180&lt;&gt;"NULL",IF($H$179="F",$H$179&amp;" "&amp;$H$180,""),""),"")</f>
      </c>
      <c r="J332" s="193">
        <f>IF($H$174="ON",IF($D$180&lt;&gt;"NULL",IF($H$179="G",$H$179&amp;" "&amp;$H$180,""),""),"")</f>
      </c>
      <c r="K332" s="193">
        <f>IF($H$174="ON",IF($D$180&lt;&gt;"NULL",IF($H$179="H",$H$179&amp;" "&amp;$H$180,""),""),"")</f>
      </c>
      <c r="L332" s="197"/>
      <c r="M332" s="197"/>
      <c r="N332" s="197"/>
      <c r="O332" s="197">
        <f>IF($H$174="ON",IF($H$175="VrD",$H$175&amp;" "&amp;"master",""),"")</f>
      </c>
      <c r="P332" s="197">
        <f>IF($H$174="ON",IF($H$175="VrE",$H$175&amp;" "&amp;"master",""),"")</f>
      </c>
      <c r="Q332" s="185"/>
    </row>
    <row r="333" spans="3:17" ht="12.75">
      <c r="C333" s="198" t="str">
        <f>"5"</f>
        <v>5</v>
      </c>
      <c r="D333" s="199">
        <f>IF($D$189="ON",IF($D$195&lt;&gt;"NULL",IF($D$194="A",$D$194&amp;" "&amp;$D$195,""),""),"")</f>
      </c>
      <c r="E333" s="200">
        <f>IF($D$189="ON",IF($D$195&lt;&gt;"NULL",IF($D$194="B",$D$194&amp;" "&amp;$D$195,""),""),"")</f>
      </c>
      <c r="F333" s="200">
        <f>IF($D$189="ON",IF($D$195&lt;&gt;"NULL",IF($D$194="C",$D$194&amp;" "&amp;$D$195,""),""),"")</f>
      </c>
      <c r="G333" s="200">
        <f>IF($D$189="ON",IF($D$195&lt;&gt;"NULL",IF($D$194="D",$D$194&amp;" "&amp;$D$195,""),""),"")</f>
      </c>
      <c r="H333" s="200">
        <f>IF($D$189="ON",IF($D$195&lt;&gt;"NULL",IF($D$194="E",$D$194&amp;" "&amp;$D$195,""),""),"")</f>
      </c>
      <c r="I333" s="200">
        <f>IF($D$189="ON",IF($D$195&lt;&gt;"NULL",IF($D$194="F",$D$194&amp;" "&amp;$D$195,""),""),"")</f>
      </c>
      <c r="J333" s="200">
        <f>IF($D$189="ON",IF($D$195&lt;&gt;"NULL",IF($D$194="G",$D$194&amp;" "&amp;$D$195,""),""),"")</f>
      </c>
      <c r="K333" s="200">
        <f>IF($D$189="ON",IF($D$195&lt;&gt;"NULL",IF($D$194="H",$D$194&amp;" "&amp;$D$195,""),""),"")</f>
      </c>
      <c r="L333" s="197"/>
      <c r="M333" s="197"/>
      <c r="N333" s="197"/>
      <c r="O333" s="197">
        <f>IF($D$189="ON",IF($D$190="VrD",$D$190&amp;" "&amp;"master",""),"")</f>
      </c>
      <c r="P333" s="197">
        <f>IF($D$189="ON",IF($D$190="VrE",$D$190&amp;" "&amp;"master",""),"")</f>
      </c>
      <c r="Q333" s="185"/>
    </row>
    <row r="334" spans="3:17" ht="12.75">
      <c r="C334" t="str">
        <f>"6"</f>
        <v>6</v>
      </c>
      <c r="D334" s="185">
        <f>IF($D$207="ON",IF($D$213&lt;&gt;"NULL",IF($D$212="A",$D$212&amp;" "&amp;$D$213,""),""),"")</f>
      </c>
      <c r="E334" s="193">
        <f>IF($D$207="ON",IF($D$213&lt;&gt;"NULL",IF($D$212="B",$D$212&amp;" "&amp;$D$213,""),""),"")</f>
      </c>
      <c r="F334" s="193">
        <f>IF($D$207="ON",IF($D$213&lt;&gt;"NULL",IF($D$212="C",$D$212&amp;" "&amp;$D$213,""),""),"")</f>
      </c>
      <c r="G334" s="193">
        <f>IF($D$207="ON",IF($D$213&lt;&gt;"NULL",IF($D$212="D",$D$212&amp;" "&amp;$D$213,""),""),"")</f>
      </c>
      <c r="H334" s="193">
        <f>IF($D$207="ON",IF($D$213&lt;&gt;"NULL",IF($D$212="E",$D$212&amp;" "&amp;$D$213,""),""),"")</f>
      </c>
      <c r="I334" s="193">
        <f>IF($D$207="ON",IF($D$213&lt;&gt;"NULL",IF($D$212="F",$D$212&amp;" "&amp;$D$213,""),""),"")</f>
      </c>
      <c r="J334" s="193">
        <f>IF($D$207="ON",IF($D$213&lt;&gt;"NULL",IF($D$212="G",$D$212&amp;" "&amp;$D$213,""),""),"")</f>
      </c>
      <c r="K334" s="193">
        <f>IF($D$207="ON",IF($D$213&lt;&gt;"NULL",IF($D$212="H",$D$212&amp;" "&amp;$D$213,""),""),"")</f>
      </c>
      <c r="L334" s="197"/>
      <c r="M334" s="197"/>
      <c r="N334" s="197"/>
      <c r="O334" s="197">
        <f>IF($D$207="ON",IF($D$208="VrD",$D$208&amp;" "&amp;"master",""),"")</f>
      </c>
      <c r="P334" s="197">
        <f>IF($D$207="ON",IF($D$208="VrE",$D$208&amp;" "&amp;"master",""),"")</f>
      </c>
      <c r="Q334" s="185"/>
    </row>
    <row r="335" spans="3:17" ht="12.75">
      <c r="C335" s="194" t="str">
        <f>"7"</f>
        <v>7</v>
      </c>
      <c r="D335" s="195">
        <f>IF($H$207="ON",IF($H$213&lt;&gt;"NULL",IF($H$212="A",$H$212&amp;" "&amp;$H$213,""),""),"")</f>
      </c>
      <c r="E335" s="196">
        <f>IF($H$207="ON",IF($H$213&lt;&gt;"NULL",IF($H$212="B",$H$212&amp;" "&amp;$H$213,""),""),"")</f>
      </c>
      <c r="F335" s="196">
        <f>IF($H$207="ON",IF($H$213&lt;&gt;"NULL",IF($H$212="C",$H$212&amp;" "&amp;$H$213,""),""),"")</f>
      </c>
      <c r="G335" s="196">
        <f>IF($H$207="ON",IF($H$213&lt;&gt;"NULL",IF($H$212="D",$H$212&amp;" "&amp;$H$213,""),""),"")</f>
      </c>
      <c r="H335" s="196">
        <f>IF($H$207="ON",IF($H$213&lt;&gt;"NULL",IF($H$212="E",$H$212&amp;" "&amp;$H$213,""),""),"")</f>
      </c>
      <c r="I335" s="196">
        <f>IF($H$207="ON",IF($H$213&lt;&gt;"NULL",IF($H$212="F",$H$212&amp;" "&amp;$H$213,""),""),"")</f>
      </c>
      <c r="J335" s="196">
        <f>IF($H$207="ON",IF($H$213&lt;&gt;"NULL",IF($H$212="G",$H$212&amp;" "&amp;$H$213,""),""),"")</f>
      </c>
      <c r="K335" s="196">
        <f>IF($H$207="ON",IF($H$213&lt;&gt;"NULL",IF($H$212="H",$H$212&amp;" "&amp;$H$213,""),""),"")</f>
      </c>
      <c r="L335" s="197"/>
      <c r="M335" s="197"/>
      <c r="N335" s="197"/>
      <c r="O335" s="197">
        <f>IF($H$207="ON",IF($H$208="VrD",$H$208&amp;" "&amp;"master",""),"")</f>
      </c>
      <c r="P335" s="197">
        <f>IF($H$207="ON",IF($H$208="VrE",$H$208&amp;" "&amp;"master",""),"")</f>
      </c>
      <c r="Q335" s="185"/>
    </row>
    <row r="336" spans="4:17" ht="12.75">
      <c r="D336" s="185"/>
      <c r="E336" s="193"/>
      <c r="F336" s="193"/>
      <c r="G336" s="193"/>
      <c r="H336" s="193"/>
      <c r="I336" s="193"/>
      <c r="J336" s="193"/>
      <c r="K336" s="193"/>
      <c r="L336" s="193"/>
      <c r="M336" s="193"/>
      <c r="N336" s="193"/>
      <c r="O336" s="193"/>
      <c r="P336" s="193"/>
      <c r="Q336" s="185"/>
    </row>
    <row r="337" spans="2:17" ht="12.75">
      <c r="B337" t="s">
        <v>222</v>
      </c>
      <c r="C337" s="198"/>
      <c r="D337" s="204"/>
      <c r="E337" s="197"/>
      <c r="F337" s="200">
        <f>IF(D234="ON/OFF","C","")</f>
      </c>
      <c r="G337" s="197"/>
      <c r="H337" s="197"/>
      <c r="I337" s="197"/>
      <c r="J337" s="197"/>
      <c r="K337" s="197"/>
      <c r="L337" s="197"/>
      <c r="M337" s="197"/>
      <c r="N337" s="197"/>
      <c r="O337" s="197"/>
      <c r="P337" s="197"/>
      <c r="Q337" s="185"/>
    </row>
    <row r="338" spans="4:17" ht="12.75">
      <c r="D338" s="185"/>
      <c r="E338" s="193"/>
      <c r="F338" s="193"/>
      <c r="G338" s="193"/>
      <c r="H338" s="193"/>
      <c r="I338" s="193"/>
      <c r="J338" s="193"/>
      <c r="K338" s="193"/>
      <c r="L338" s="193"/>
      <c r="M338" s="193"/>
      <c r="N338" s="193"/>
      <c r="O338" s="193"/>
      <c r="P338" s="193"/>
      <c r="Q338" s="185"/>
    </row>
    <row r="339" spans="2:17" ht="12.75">
      <c r="B339" t="s">
        <v>231</v>
      </c>
      <c r="C339" s="194"/>
      <c r="D339" s="195">
        <f>IF($D$243="ON/OFF",IF($D$247&lt;&gt;"NULL",IF($D$246="A",$D$246&amp;" "&amp;$D$247,""),""),"")</f>
      </c>
      <c r="E339" s="196">
        <f>IF($D$243="ON/OFF",IF($D$247&lt;&gt;"NULL",IF($D$246="B",$D$246&amp;" "&amp;$D$247,""),""),"")</f>
      </c>
      <c r="F339" s="196">
        <f>IF($D$243="ON/OFF",IF($D$247&lt;&gt;"NULL",IF($D$246="C",$D$246&amp;" "&amp;$D$247,""),""),"")</f>
      </c>
      <c r="G339" s="196">
        <f>IF($D$243="ON/OFF",IF($D$247&lt;&gt;"NULL",IF($D$246="D",$D$246&amp;" "&amp;$D$247,""),""),"")</f>
      </c>
      <c r="H339" s="196">
        <f>IF($D$243="ON/OFF",IF($D$247&lt;&gt;"NULL",IF($D$246="E",$D$246&amp;" "&amp;$D$247,""),""),"")</f>
      </c>
      <c r="I339" s="196">
        <f>IF($D$243="ON/OFF",IF($D$247&lt;&gt;"NULL",IF($D$246="F",$D$246&amp;" "&amp;$D$247,""),""),"")</f>
      </c>
      <c r="J339" s="196">
        <f>IF($D$243="ON/OFF",IF($D$247&lt;&gt;"NULL",IF($D$246="G",$D$246&amp;" "&amp;$D$247,""),""),"")</f>
      </c>
      <c r="K339" s="196">
        <f>IF($D$243="ON/OFF",IF($D$247&lt;&gt;"NULL",IF($D$246="H",$D$246&amp;" "&amp;$D$247,""),""),"")</f>
      </c>
      <c r="L339" s="197"/>
      <c r="M339" s="197"/>
      <c r="N339" s="197"/>
      <c r="O339" s="197"/>
      <c r="P339" s="197"/>
      <c r="Q339" s="185"/>
    </row>
    <row r="340" spans="4:17" ht="12.75">
      <c r="D340" s="185"/>
      <c r="E340" s="193"/>
      <c r="F340" s="193"/>
      <c r="G340" s="193"/>
      <c r="H340" s="193"/>
      <c r="I340" s="193"/>
      <c r="J340" s="193"/>
      <c r="K340" s="193"/>
      <c r="L340" s="193"/>
      <c r="M340" s="193"/>
      <c r="N340" s="193"/>
      <c r="O340" s="193"/>
      <c r="P340" s="193"/>
      <c r="Q340" s="185"/>
    </row>
    <row r="341" spans="2:17" ht="12.75">
      <c r="B341" t="s">
        <v>254</v>
      </c>
      <c r="C341" s="198" t="s">
        <v>317</v>
      </c>
      <c r="D341" s="205">
        <f>IF($D$278&lt;&gt;"FREE",IF($D$118="Sw-A",$D$118,""),"")</f>
      </c>
      <c r="E341" s="206">
        <f>IF($D$278&lt;&gt;"FREE",IF($D$118="Sw-B",$D$118,""),"")</f>
      </c>
      <c r="F341" s="206">
        <f>IF($D$278&lt;&gt;"FREE",IF($D$118="Sw-C",$D$118,""),"")</f>
      </c>
      <c r="G341" s="206">
        <f>IF($D$278&lt;&gt;"FREE",IF($D$118="Sw-D",$D$118,""),"")</f>
      </c>
      <c r="H341" s="206">
        <f>IF($D$278&lt;&gt;"FREE",IF($D$118="Sw-E",$D$118,""),"")</f>
      </c>
      <c r="I341" s="206">
        <f>IF($D$278&lt;&gt;"FREE",IF($D$118="Sw-F",$D$118,""),"")</f>
      </c>
      <c r="J341" s="206">
        <f>IF($D$278&lt;&gt;"FREE",IF($D$118="Sw-G",$D$118,""),"")</f>
      </c>
      <c r="K341" s="206">
        <f>IF($D$278&lt;&gt;"FREE",IF($D$118="Sw-H",$D$118,""),"")</f>
      </c>
      <c r="L341" s="206">
        <f>IF($D$278&lt;&gt;"FREE",IF($D$118="Vr-A",$D$118,""),"")</f>
      </c>
      <c r="M341" s="206">
        <f>IF($D$278&lt;&gt;"FREE",IF($D$118="Vr-B",$D$118,""),"")</f>
      </c>
      <c r="N341" s="206">
        <f>IF($D$278&lt;&gt;"FREE",IF($D$118="Vr-C",$D$118,""),"")</f>
      </c>
      <c r="O341" s="206">
        <f>IF($D$278&lt;&gt;"FREE",IF($D$118="Vr-D",$D$118,""),"")</f>
      </c>
      <c r="P341" s="207">
        <f>IF($D$278&lt;&gt;"FREE",IF($D$118="Vr-E",$D$118,""),"")</f>
      </c>
      <c r="Q341" s="185"/>
    </row>
    <row r="342" spans="3:17" ht="12.75">
      <c r="C342" s="3" t="s">
        <v>267</v>
      </c>
      <c r="D342" s="202">
        <f>IF($D$274="ON/OFF",IF($D$279="A",$D$279,""),"")</f>
      </c>
      <c r="E342" s="203">
        <f>IF($D$274="ON/OFF",IF($D$279="B",$D$279,""),"")</f>
      </c>
      <c r="F342" s="203">
        <f>IF($D$274="ON/OFF",IF($D$279="C",$D$279,""),"")</f>
      </c>
      <c r="G342" s="203">
        <f>IF($D$274="ON/OFF",IF($D$279="D",$D$279,""),"")</f>
      </c>
      <c r="H342" s="203">
        <f>IF($D$274="ON/OFF",IF($D$279="E",$D$279,""),"")</f>
      </c>
      <c r="I342" s="203">
        <f>IF($B$142="ON/OFF","Trainer!",IF($D$274="ON/OFF","Snap",""))</f>
      </c>
      <c r="J342" s="203">
        <f>IF($D$274="ON/OFF",IF($D$279="G",$D$279,""),"")</f>
      </c>
      <c r="K342" s="203">
        <f>IF($D$274="ON/OFF",IF($D$279="H",$D$279,""),"")</f>
      </c>
      <c r="L342" s="197"/>
      <c r="M342" s="197"/>
      <c r="N342" s="197"/>
      <c r="O342" s="197"/>
      <c r="P342" s="197"/>
      <c r="Q342" s="185"/>
    </row>
    <row r="343" spans="3:17" ht="12.75">
      <c r="C343" s="194" t="s">
        <v>318</v>
      </c>
      <c r="D343" s="195">
        <f>IF($D$274="ON/OFF",IF($D$280="A",$D$280,""),"")</f>
      </c>
      <c r="E343" s="196">
        <f>IF($D$274="ON/OFF",IF($D$280="B",$D$280,""),"")</f>
      </c>
      <c r="F343" s="196">
        <f>IF($D$274="ON/OFF",IF($D$280="C",$D$280,""),"")</f>
      </c>
      <c r="G343" s="196">
        <f>IF($D$274="ON/OFF",IF($D$280="D",$D$280,""),"")</f>
      </c>
      <c r="H343" s="196">
        <f>IF($D$274="ON/OFF",IF($D$280="E",$D$280,""),"")</f>
      </c>
      <c r="I343" s="196">
        <f>IF($D$274="ON/OFF",IF($D$280="F",$D$280,""),"")</f>
      </c>
      <c r="J343" s="196">
        <f>IF($D$274="ON/OFF",IF($D$280="G",$D$280,""),"")</f>
      </c>
      <c r="K343" s="196">
        <f>IF($D$274="ON/OFF",IF($D$280="H",$D$280,""),"")</f>
      </c>
      <c r="L343" s="197"/>
      <c r="M343" s="197"/>
      <c r="N343" s="197"/>
      <c r="O343" s="197"/>
      <c r="P343" s="197"/>
      <c r="Q343" s="185"/>
    </row>
    <row r="344" spans="4:17" ht="13.5" thickBot="1">
      <c r="D344" s="185"/>
      <c r="E344" s="193"/>
      <c r="F344" s="193"/>
      <c r="G344" s="193"/>
      <c r="H344" s="193"/>
      <c r="I344" s="193"/>
      <c r="J344" s="193"/>
      <c r="K344" s="193"/>
      <c r="L344" s="193"/>
      <c r="M344" s="193"/>
      <c r="N344" s="193"/>
      <c r="O344" s="193"/>
      <c r="P344" s="193"/>
      <c r="Q344" s="185"/>
    </row>
    <row r="345" spans="2:17" ht="12.75">
      <c r="B345" s="208" t="s">
        <v>319</v>
      </c>
      <c r="C345" s="209" t="s">
        <v>16</v>
      </c>
      <c r="D345" s="210">
        <f>IF($C$23&lt;&gt;"",$C$23,"")</f>
      </c>
      <c r="E345" s="211">
        <f>IF($C$26&lt;&gt;"",$C$26,"")</f>
      </c>
      <c r="F345" s="211">
        <f>IF($L$26&lt;&gt;"",$L$26,"")</f>
      </c>
      <c r="G345" s="211">
        <f>IF($L$23&lt;&gt;"",$L$23,"")</f>
      </c>
      <c r="H345" s="211">
        <f>IF($C$18&lt;&gt;"",$C$18,"")</f>
      </c>
      <c r="I345" s="211">
        <f>IF($C$16&lt;&gt;"",$C$16,"")</f>
      </c>
      <c r="J345" s="211">
        <f>IF($L$17&lt;&gt;"",$L$17,"")</f>
      </c>
      <c r="K345" s="211">
        <f>IF($L$14&lt;&gt;"",$L$14,"")</f>
      </c>
      <c r="L345" s="211"/>
      <c r="M345" s="211"/>
      <c r="N345" s="211"/>
      <c r="O345" s="211"/>
      <c r="P345" s="212"/>
      <c r="Q345" s="185"/>
    </row>
    <row r="346" spans="2:17" ht="12.75">
      <c r="B346" t="s">
        <v>320</v>
      </c>
      <c r="C346" t="s">
        <v>19</v>
      </c>
      <c r="D346" s="213"/>
      <c r="E346" s="214"/>
      <c r="F346" s="193">
        <f>IF($L$27&lt;&gt;"",$L$27,"")</f>
      </c>
      <c r="G346" s="214"/>
      <c r="H346" s="214"/>
      <c r="I346" s="214"/>
      <c r="J346" s="193">
        <f>IF($L$18&lt;&gt;"",$L$18,"")</f>
      </c>
      <c r="K346" s="214"/>
      <c r="L346" s="193">
        <f>IF($E$28&lt;&gt;"",$E$28,"")</f>
      </c>
      <c r="M346" s="193">
        <f>IF($G$28&lt;&gt;"",$G$28,"")</f>
      </c>
      <c r="N346" s="193">
        <f>IF($J$28&lt;&gt;"",$J$28,"")</f>
      </c>
      <c r="O346" s="193">
        <f>IF($C$21&lt;&gt;"",$C$21,"")</f>
      </c>
      <c r="P346" s="193">
        <f>IF($L$21&lt;&gt;"",$L$21,"")</f>
      </c>
      <c r="Q346" s="185"/>
    </row>
    <row r="347" spans="2:17" ht="12.75">
      <c r="B347" s="174" t="s">
        <v>321</v>
      </c>
      <c r="C347" s="194" t="s">
        <v>17</v>
      </c>
      <c r="D347" s="195">
        <f>IF($C$24&lt;&gt;"",$C$24,"")</f>
      </c>
      <c r="E347" s="196">
        <f>IF($C$27&lt;&gt;"",$C$27,"")</f>
      </c>
      <c r="F347" s="196">
        <f>IF(L28&lt;&gt;"",L28,"")</f>
      </c>
      <c r="G347" s="196">
        <f>IF(L24&lt;&gt;"",L24,"")</f>
      </c>
      <c r="H347" s="196">
        <f>IF(C19&lt;&gt;"",C19,"")</f>
      </c>
      <c r="I347" s="196">
        <f>IF($C$24&lt;&gt;"",$C$24,"")</f>
      </c>
      <c r="J347" s="196">
        <f>IF(L19&lt;&gt;"",L19,"")</f>
      </c>
      <c r="K347" s="196">
        <f>IF(L15&lt;&gt;"",L15,"")</f>
      </c>
      <c r="L347" s="196"/>
      <c r="M347" s="196"/>
      <c r="N347" s="196"/>
      <c r="O347" s="196"/>
      <c r="P347" s="196"/>
      <c r="Q347" s="185"/>
    </row>
    <row r="348" spans="2:17" ht="12.75">
      <c r="B348" s="174" t="s">
        <v>322</v>
      </c>
      <c r="D348" s="185"/>
      <c r="E348" s="215"/>
      <c r="F348" s="88"/>
      <c r="G348" s="215"/>
      <c r="H348" s="88"/>
      <c r="I348" s="215"/>
      <c r="J348" s="88"/>
      <c r="K348" s="215"/>
      <c r="L348" s="88"/>
      <c r="M348" s="215"/>
      <c r="N348" s="215"/>
      <c r="O348" s="215"/>
      <c r="P348" s="193"/>
      <c r="Q348" s="185"/>
    </row>
    <row r="349" spans="2:17" ht="13.5" thickBot="1">
      <c r="B349" t="s">
        <v>323</v>
      </c>
      <c r="C349" s="88"/>
      <c r="D349" s="186" t="s">
        <v>53</v>
      </c>
      <c r="E349" s="187" t="s">
        <v>54</v>
      </c>
      <c r="F349" s="187" t="s">
        <v>102</v>
      </c>
      <c r="G349" s="187" t="s">
        <v>51</v>
      </c>
      <c r="H349" s="187" t="s">
        <v>302</v>
      </c>
      <c r="I349" s="187" t="s">
        <v>303</v>
      </c>
      <c r="J349" s="187" t="s">
        <v>304</v>
      </c>
      <c r="K349" s="188" t="s">
        <v>200</v>
      </c>
      <c r="L349" s="189" t="s">
        <v>305</v>
      </c>
      <c r="M349" s="190" t="s">
        <v>306</v>
      </c>
      <c r="N349" s="191" t="s">
        <v>307</v>
      </c>
      <c r="O349" s="192" t="s">
        <v>308</v>
      </c>
      <c r="P349" s="187" t="s">
        <v>309</v>
      </c>
      <c r="Q349" s="185"/>
    </row>
    <row r="350" spans="3:17" ht="13.5" thickBot="1">
      <c r="C350" s="88"/>
      <c r="D350" s="216" t="s">
        <v>298</v>
      </c>
      <c r="E350" s="217"/>
      <c r="F350" s="217"/>
      <c r="G350" s="217"/>
      <c r="H350" s="217"/>
      <c r="I350" s="217"/>
      <c r="J350" s="217"/>
      <c r="K350" s="218"/>
      <c r="L350" s="219" t="s">
        <v>299</v>
      </c>
      <c r="M350" s="219"/>
      <c r="N350" s="220"/>
      <c r="O350" s="217" t="s">
        <v>300</v>
      </c>
      <c r="P350" s="217"/>
      <c r="Q350" s="221"/>
    </row>
    <row r="353" spans="2:7" ht="12.75">
      <c r="B353" s="172" t="s">
        <v>324</v>
      </c>
      <c r="C353" s="172"/>
      <c r="D353" s="172"/>
      <c r="E353" s="172"/>
      <c r="F353" s="172"/>
      <c r="G353" s="173"/>
    </row>
  </sheetData>
  <mergeCells count="16">
    <mergeCell ref="B303:G303"/>
    <mergeCell ref="B300:G300"/>
    <mergeCell ref="I300:N300"/>
    <mergeCell ref="B301:G301"/>
    <mergeCell ref="B302:G302"/>
    <mergeCell ref="I302:N302"/>
    <mergeCell ref="F108:K108"/>
    <mergeCell ref="F118:K118"/>
    <mergeCell ref="G2:J2"/>
    <mergeCell ref="C6:J6"/>
    <mergeCell ref="E28:F28"/>
    <mergeCell ref="G28:H28"/>
    <mergeCell ref="I28:J28"/>
    <mergeCell ref="B4:C4"/>
    <mergeCell ref="H4:I4"/>
    <mergeCell ref="D2:F2"/>
  </mergeCells>
  <conditionalFormatting sqref="E51 G51 J51">
    <cfRule type="expression" priority="1" dxfId="0" stopIfTrue="1">
      <formula>OR(D51="AIL",D51="ELE",D51="THR",D51="RUD")</formula>
    </cfRule>
  </conditionalFormatting>
  <conditionalFormatting sqref="F268:M268">
    <cfRule type="expression" priority="2" dxfId="1" stopIfTrue="1">
      <formula>$D$287="ACT"</formula>
    </cfRule>
  </conditionalFormatting>
  <conditionalFormatting sqref="G261:M261">
    <cfRule type="expression" priority="3" dxfId="1" stopIfTrue="1">
      <formula>$D$216="ACT"</formula>
    </cfRule>
    <cfRule type="expression" priority="4" dxfId="1" stopIfTrue="1">
      <formula>$D$228="ACT"</formula>
    </cfRule>
  </conditionalFormatting>
  <conditionalFormatting sqref="D45:E46">
    <cfRule type="expression" priority="5" dxfId="2" stopIfTrue="1">
      <formula>OR($D$51="C",$D$51="G")</formula>
    </cfRule>
  </conditionalFormatting>
  <conditionalFormatting sqref="F45:G46">
    <cfRule type="expression" priority="6" dxfId="2" stopIfTrue="1">
      <formula>OR($F$51="C",$F$51="G")</formula>
    </cfRule>
  </conditionalFormatting>
  <conditionalFormatting sqref="I45:J46">
    <cfRule type="expression" priority="7" dxfId="2" stopIfTrue="1">
      <formula>OR($I$51="C",$I$51="G")</formula>
    </cfRule>
  </conditionalFormatting>
  <conditionalFormatting sqref="G141:K141">
    <cfRule type="expression" priority="8" dxfId="1" stopIfTrue="1">
      <formula>$D$274="ON/OFF"</formula>
    </cfRule>
  </conditionalFormatting>
  <conditionalFormatting sqref="K12">
    <cfRule type="expression" priority="9" dxfId="3" stopIfTrue="1">
      <formula>$D$287="ACT"</formula>
    </cfRule>
  </conditionalFormatting>
  <conditionalFormatting sqref="J12">
    <cfRule type="expression" priority="10" dxfId="4" stopIfTrue="1">
      <formula>$D$287="ACT"</formula>
    </cfRule>
  </conditionalFormatting>
  <conditionalFormatting sqref="F141">
    <cfRule type="expression" priority="11" dxfId="4" stopIfTrue="1">
      <formula>$D$274="ON/OFF"</formula>
    </cfRule>
  </conditionalFormatting>
  <conditionalFormatting sqref="D122:D123">
    <cfRule type="expression" priority="12" dxfId="0" stopIfTrue="1">
      <formula>$D$128="PCM"</formula>
    </cfRule>
  </conditionalFormatting>
  <conditionalFormatting sqref="C122:C123">
    <cfRule type="expression" priority="13" dxfId="5" stopIfTrue="1">
      <formula>$D$128="PCM"</formula>
    </cfRule>
  </conditionalFormatting>
  <conditionalFormatting sqref="D108:E115">
    <cfRule type="expression" priority="14" dxfId="2" stopIfTrue="1">
      <formula>$D$128="PCM"</formula>
    </cfRule>
  </conditionalFormatting>
  <conditionalFormatting sqref="G230:M230">
    <cfRule type="expression" priority="15" dxfId="1" stopIfTrue="1">
      <formula>$D$216="ACT"</formula>
    </cfRule>
    <cfRule type="expression" priority="16" dxfId="1" stopIfTrue="1">
      <formula>$D$258="ACT"</formula>
    </cfRule>
  </conditionalFormatting>
  <conditionalFormatting sqref="G221:M221">
    <cfRule type="expression" priority="17" dxfId="1" stopIfTrue="1">
      <formula>$D$228="ACT"</formula>
    </cfRule>
    <cfRule type="expression" priority="18" dxfId="1" stopIfTrue="1">
      <formula>$D$258="ACT"</formula>
    </cfRule>
  </conditionalFormatting>
  <conditionalFormatting sqref="G163">
    <cfRule type="expression" priority="19" dxfId="6" stopIfTrue="1">
      <formula>OR($H$160="AILE",$H$160="ELEV",$H$160="THRO",$H$160="RUDD")</formula>
    </cfRule>
  </conditionalFormatting>
  <conditionalFormatting sqref="H163">
    <cfRule type="expression" priority="20" dxfId="0" stopIfTrue="1">
      <formula>OR($H$160="AILE",$H$160="ELEV",$H$160="THRO",$H$160="RUDD")</formula>
    </cfRule>
  </conditionalFormatting>
  <conditionalFormatting sqref="C163">
    <cfRule type="expression" priority="21" dxfId="6" stopIfTrue="1">
      <formula>OR($D$160="AILE",$D$160="ELEV",$D$160="THRO",$D$160="RUDD")</formula>
    </cfRule>
  </conditionalFormatting>
  <conditionalFormatting sqref="D163">
    <cfRule type="expression" priority="22" dxfId="0" stopIfTrue="1">
      <formula>OR($D$160="AILE",$D$160="ELEV",$D$160="THRO",$D$160="RUDD")</formula>
    </cfRule>
  </conditionalFormatting>
  <conditionalFormatting sqref="C178">
    <cfRule type="expression" priority="23" dxfId="6" stopIfTrue="1">
      <formula>OR($D$175="AILE",$D$175="ELEV",$D$175="THRO",$D$175="RUDD")</formula>
    </cfRule>
  </conditionalFormatting>
  <conditionalFormatting sqref="D178">
    <cfRule type="expression" priority="24" dxfId="0" stopIfTrue="1">
      <formula>OR($D$175="AILE",$D$175="ELEV",$D$175="THRO",$D$175="RUDD")</formula>
    </cfRule>
  </conditionalFormatting>
  <conditionalFormatting sqref="G178">
    <cfRule type="expression" priority="25" dxfId="6" stopIfTrue="1">
      <formula>OR($H$175="AILE",$H$175="ELEV",$H$175="THRO",$H$175="RUDD")</formula>
    </cfRule>
  </conditionalFormatting>
  <conditionalFormatting sqref="H178">
    <cfRule type="expression" priority="26" dxfId="0" stopIfTrue="1">
      <formula>OR($H$175="AILE",$H$175="ELEV",$H$175="THRO",$H$175="RUDD")</formula>
    </cfRule>
  </conditionalFormatting>
  <conditionalFormatting sqref="C193">
    <cfRule type="expression" priority="27" dxfId="6" stopIfTrue="1">
      <formula>OR($D$190="AILE",$D$190="ELEV",$D$190="THRO",$D$190="RUDD")</formula>
    </cfRule>
  </conditionalFormatting>
  <conditionalFormatting sqref="D193">
    <cfRule type="expression" priority="28" dxfId="0" stopIfTrue="1">
      <formula>OR($D$190="AILE",$D$190="ELEV",$D$190="THRO",$D$190="RUDD")</formula>
    </cfRule>
  </conditionalFormatting>
  <conditionalFormatting sqref="F290:K290">
    <cfRule type="expression" priority="29" dxfId="1" stopIfTrue="1">
      <formula>$D$266="ACT"</formula>
    </cfRule>
  </conditionalFormatting>
  <conditionalFormatting sqref="G225:M225">
    <cfRule type="expression" priority="30" dxfId="1" stopIfTrue="1">
      <formula>$D$216="ACT"</formula>
    </cfRule>
  </conditionalFormatting>
  <conditionalFormatting sqref="E217:E219 C216:D221">
    <cfRule type="expression" priority="31" dxfId="7" stopIfTrue="1">
      <formula>$D$228="ACT"</formula>
    </cfRule>
    <cfRule type="expression" priority="32" dxfId="7" stopIfTrue="1">
      <formula>$D$258="ACT"</formula>
    </cfRule>
  </conditionalFormatting>
  <conditionalFormatting sqref="C228:D231 E229:E231">
    <cfRule type="expression" priority="33" dxfId="7" stopIfTrue="1">
      <formula>$D$216="ACT"</formula>
    </cfRule>
    <cfRule type="expression" priority="34" dxfId="7" stopIfTrue="1">
      <formula>$D$258="ACT"</formula>
    </cfRule>
  </conditionalFormatting>
  <conditionalFormatting sqref="C258:D263 E259:E261">
    <cfRule type="expression" priority="35" dxfId="7" stopIfTrue="1">
      <formula>$D$216="ACT"</formula>
    </cfRule>
    <cfRule type="expression" priority="36" dxfId="7" stopIfTrue="1">
      <formula>$D$228="ACT"</formula>
    </cfRule>
  </conditionalFormatting>
  <conditionalFormatting sqref="C266:D271">
    <cfRule type="expression" priority="37" dxfId="7" stopIfTrue="1">
      <formula>$D$287="ACT"</formula>
    </cfRule>
  </conditionalFormatting>
  <conditionalFormatting sqref="C287:D293">
    <cfRule type="expression" priority="38" dxfId="7" stopIfTrue="1">
      <formula>$D$266="ACT"</formula>
    </cfRule>
  </conditionalFormatting>
  <conditionalFormatting sqref="C274:D280">
    <cfRule type="expression" priority="39" dxfId="7" stopIfTrue="1">
      <formula>$B$142="ON/OFF"</formula>
    </cfRule>
  </conditionalFormatting>
  <conditionalFormatting sqref="K275:P276">
    <cfRule type="expression" priority="40" dxfId="1" stopIfTrue="1">
      <formula>$B$142="ON/OFF"</formula>
    </cfRule>
  </conditionalFormatting>
  <conditionalFormatting sqref="C140:D147">
    <cfRule type="expression" priority="41" dxfId="7" stopIfTrue="1">
      <formula>$D$274="ON/OFF"</formula>
    </cfRule>
  </conditionalFormatting>
  <conditionalFormatting sqref="B142">
    <cfRule type="expression" priority="42" dxfId="8" stopIfTrue="1">
      <formula>$D$274="ON/OFF"</formula>
    </cfRule>
  </conditionalFormatting>
  <conditionalFormatting sqref="C45:C46">
    <cfRule type="expression" priority="43" dxfId="6" stopIfTrue="1">
      <formula>OR($D$51="C",$D$51="G",$F$51="C",$F$51="G",$I$51="C",$I$51="G")</formula>
    </cfRule>
  </conditionalFormatting>
  <conditionalFormatting sqref="L10:L11">
    <cfRule type="expression" priority="44" dxfId="9" stopIfTrue="1">
      <formula>$D$128="PPM"</formula>
    </cfRule>
  </conditionalFormatting>
  <conditionalFormatting sqref="K10 C108:C115">
    <cfRule type="expression" priority="45" dxfId="6" stopIfTrue="1">
      <formula>$D$128="PCM"</formula>
    </cfRule>
  </conditionalFormatting>
  <conditionalFormatting sqref="K11">
    <cfRule type="expression" priority="46" dxfId="10" stopIfTrue="1">
      <formula>$D$128="PCM"</formula>
    </cfRule>
  </conditionalFormatting>
  <dataValidations count="42">
    <dataValidation type="list" allowBlank="1" sqref="D102 D95">
      <formula1>"INH,ON/OFF"</formula1>
    </dataValidation>
    <dataValidation type="list" allowBlank="1" showInputMessage="1" showErrorMessage="1" sqref="D140:D147">
      <formula1>"FUNC,NORM,OFF"</formula1>
    </dataValidation>
    <dataValidation type="list" allowBlank="1" showInputMessage="1" showErrorMessage="1" sqref="D58:E65 D42:G42 I42:J42 D45:G45 I45:J45 D48:G48 I48:J48">
      <formula1>pc_0_140</formula1>
    </dataValidation>
    <dataValidation type="list" allowBlank="1" showInputMessage="1" showErrorMessage="1" sqref="E108:E115 D43:J43">
      <formula1>percent_100_0_100</formula1>
    </dataValidation>
    <dataValidation type="list" allowBlank="1" showInputMessage="1" showErrorMessage="1" sqref="D68:D75">
      <formula1>step_120_120</formula1>
    </dataValidation>
    <dataValidation type="list" allowBlank="1" showInputMessage="1" showErrorMessage="1" sqref="D78:D85">
      <formula1>rev</formula1>
    </dataValidation>
    <dataValidation type="list" allowBlank="1" showInputMessage="1" showErrorMessage="1" sqref="D89:D92">
      <formula1>trim_step</formula1>
    </dataValidation>
    <dataValidation type="list" allowBlank="1" showInputMessage="1" showErrorMessage="1" sqref="D96 D103">
      <formula1>thr_cut_rate</formula1>
    </dataValidation>
    <dataValidation type="list" allowBlank="1" showInputMessage="1" showErrorMessage="1" sqref="D97 D104 D246">
      <formula1>thr_cut_sw</formula1>
    </dataValidation>
    <dataValidation type="list" allowBlank="1" showInputMessage="1" showErrorMessage="1" sqref="H186">
      <formula1>thr_cut_posi</formula1>
    </dataValidation>
    <dataValidation type="list" allowBlank="1" showInputMessage="1" showErrorMessage="1" sqref="D35">
      <formula1>Model_sel</formula1>
    </dataValidation>
    <dataValidation type="list" allowBlank="1" showInputMessage="1" showErrorMessage="1" sqref="D118:D121">
      <formula1>aux_ch_sw</formula1>
    </dataValidation>
    <dataValidation type="list" allowBlank="1" showInputMessage="1" showErrorMessage="1" sqref="D127">
      <formula1>mod_type</formula1>
    </dataValidation>
    <dataValidation type="list" allowBlank="1" showInputMessage="1" showErrorMessage="1" sqref="D128">
      <formula1>"PPM,PCM"</formula1>
    </dataValidation>
    <dataValidation type="list" allowBlank="1" showInputMessage="1" showErrorMessage="1" sqref="H210 D210 D192:D193 H177:H178 H162:H163 D129 D162:D163 D177:D178">
      <formula1>"ON,OFF"</formula1>
    </dataValidation>
    <dataValidation type="list" allowBlank="1" showInputMessage="1" showErrorMessage="1" sqref="D130">
      <formula1>"CH6or7,CH5&amp;6"</formula1>
    </dataValidation>
    <dataValidation type="list" allowBlank="1" showInputMessage="1" showErrorMessage="1" sqref="D135:E135">
      <formula1>"UP,DOWN"</formula1>
    </dataValidation>
    <dataValidation type="list" allowBlank="1" showInputMessage="1" showErrorMessage="1" sqref="D136:E136">
      <formula1>timer_sw</formula1>
    </dataValidation>
    <dataValidation type="list" allowBlank="1" showInputMessage="1" showErrorMessage="1" sqref="D234 D274 B142 D243">
      <formula1>"INH,ON/OFF"</formula1>
    </dataValidation>
    <dataValidation type="list" allowBlank="1" showInputMessage="1" showErrorMessage="1" sqref="H207 D207 D189 D174 H174 H159 D159">
      <formula1>"ON,INH"</formula1>
    </dataValidation>
    <dataValidation type="list" allowBlank="1" showInputMessage="1" showErrorMessage="1" sqref="H208 D208 D190 D175 H175 H160 D160">
      <formula1>master</formula1>
    </dataValidation>
    <dataValidation type="list" allowBlank="1" showInputMessage="1" showErrorMessage="1" sqref="H209 D209 D191 D176 H176 H161 D161">
      <formula1>slave</formula1>
    </dataValidation>
    <dataValidation type="list" allowBlank="1" showInputMessage="1" showErrorMessage="1" sqref="H212 D212 D194 D179 H179 H164 D164">
      <formula1>mix_sw</formula1>
    </dataValidation>
    <dataValidation allowBlank="1" showInputMessage="1" showErrorMessage="1" sqref="D285 D281 D272 D256 D248 D241 D232:E232 D226 D222 D214 H214 D196:D197 D181 H181:H182 H166:H167 D166:D167 D148 D138:E138 D131 D66:E66 D124 D99:D100 D93 D86 D76 D116 D106"/>
    <dataValidation type="list" allowBlank="1" showInputMessage="1" showErrorMessage="1" sqref="D266 D283 D287 D216 D258 D228 D250">
      <formula1>"INH,ACT"</formula1>
    </dataValidation>
    <dataValidation type="list" allowBlank="1" showInputMessage="1" showErrorMessage="1" sqref="D275:D277 D218:D221 E218:E219 D230:E231 D260:D263 E260:E261">
      <formula1>pc_120_120</formula1>
    </dataValidation>
    <dataValidation type="list" allowBlank="1" showInputMessage="1" showErrorMessage="1" sqref="D284 D239">
      <formula1>pc_0_100</formula1>
    </dataValidation>
    <dataValidation type="list" allowBlank="1" showInputMessage="1" showErrorMessage="1" sqref="D279:D280">
      <formula1>snap_sw</formula1>
    </dataValidation>
    <dataValidation type="list" allowBlank="1" showInputMessage="1" showErrorMessage="1" sqref="G11:K11">
      <formula1>other_func</formula1>
    </dataValidation>
    <dataValidation type="list" allowBlank="1" showInputMessage="1" showErrorMessage="1" sqref="D288:D292">
      <formula1>thr_needle</formula1>
    </dataValidation>
    <dataValidation type="list" allowBlank="1" showInputMessage="1" showErrorMessage="1" sqref="D293">
      <formula1>thr_needle_acce</formula1>
    </dataValidation>
    <dataValidation type="list" allowBlank="1" showInputMessage="1" showErrorMessage="1" sqref="D240">
      <formula1>"Manual,Lnear(x%)"</formula1>
    </dataValidation>
    <dataValidation type="list" allowBlank="1" showInputMessage="1" showErrorMessage="1" sqref="E51 G51 J51">
      <formula1>trigger_point</formula1>
    </dataValidation>
    <dataValidation type="list" allowBlank="1" showInputMessage="1" showErrorMessage="1" sqref="D122">
      <formula1>ch9_sw</formula1>
    </dataValidation>
    <dataValidation type="list" allowBlank="1" showInputMessage="1" showErrorMessage="1" sqref="D123">
      <formula1>"NORM,REV"</formula1>
    </dataValidation>
    <dataValidation type="list" allowBlank="1" showInputMessage="1" showErrorMessage="1" sqref="D108:D115">
      <formula1>"NOR,F/S"</formula1>
    </dataValidation>
    <dataValidation type="list" allowBlank="1" showErrorMessage="1" sqref="D224">
      <formula1>"INH,ACT"</formula1>
    </dataValidation>
    <dataValidation type="list" allowBlank="1" showInputMessage="1" showErrorMessage="1" sqref="D278">
      <formula1>"FREE,ON/OFF"</formula1>
    </dataValidation>
    <dataValidation type="list" allowBlank="1" showInputMessage="1" showErrorMessage="1" sqref="D137:E137">
      <formula1>timer_sw_pos</formula1>
    </dataValidation>
    <dataValidation type="list" allowBlank="1" showInputMessage="1" showErrorMessage="1" sqref="D46:G46 I46:J46 D49:G49 I49:J49 D157 D156:E156 H157 H156:I156 D172 D171:E171 H172 H171:I171 D187 D186:E186 D201:D205 H201:H205 D225 D235:D238 D244:D245 D252:D255 D268:D271">
      <formula1>pc_100_0_100</formula1>
    </dataValidation>
    <dataValidation type="list" allowBlank="1" showInputMessage="1" showErrorMessage="1" sqref="D51 F51 I51">
      <formula1>sw_dr_exp</formula1>
    </dataValidation>
    <dataValidation type="list" allowBlank="1" showInputMessage="1" showErrorMessage="1" sqref="D98 D105 D165 H165 H180 D180 D195 D213 H213 D247">
      <formula1>thr_cut_pos</formula1>
    </dataValidation>
  </dataValidations>
  <hyperlinks>
    <hyperlink ref="I37" location="'Other info'!B2" tooltip="Find the shortest way between letters!" display="9C text alphabet"/>
    <hyperlink ref="H274" location="'Other info'!B19" display="&quot;Controlling snap type&quot; table."/>
  </hyperlink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3:L44"/>
  <sheetViews>
    <sheetView showGridLines="0" workbookViewId="0" topLeftCell="A2">
      <selection activeCell="B19" sqref="B19"/>
    </sheetView>
  </sheetViews>
  <sheetFormatPr defaultColWidth="9.140625" defaultRowHeight="12.75"/>
  <cols>
    <col min="1" max="1" width="5.7109375" style="0" customWidth="1"/>
    <col min="2" max="2" width="6.28125" style="0" customWidth="1"/>
    <col min="3" max="3" width="7.421875" style="0" customWidth="1"/>
    <col min="4" max="4" width="6.28125" style="0" customWidth="1"/>
    <col min="5" max="5" width="8.57421875" style="0" customWidth="1"/>
    <col min="6" max="6" width="15.140625" style="0" customWidth="1"/>
    <col min="7" max="7" width="35.7109375" style="0" customWidth="1"/>
  </cols>
  <sheetData>
    <row r="3" spans="2:7" ht="15.75">
      <c r="B3" s="309" t="s">
        <v>325</v>
      </c>
      <c r="C3" s="310"/>
      <c r="D3" s="310"/>
      <c r="E3" s="310"/>
      <c r="F3" s="310"/>
      <c r="G3" s="311"/>
    </row>
    <row r="5" spans="2:8" ht="12.75">
      <c r="B5" s="312" t="s">
        <v>326</v>
      </c>
      <c r="C5" s="310"/>
      <c r="D5" s="310"/>
      <c r="E5" s="310"/>
      <c r="F5" s="310"/>
      <c r="G5" s="310"/>
      <c r="H5" s="311"/>
    </row>
    <row r="9" ht="12.75">
      <c r="G9" s="222" t="s">
        <v>327</v>
      </c>
    </row>
    <row r="10" spans="5:7" ht="12.75">
      <c r="E10" s="223" t="s">
        <v>328</v>
      </c>
      <c r="G10" s="224"/>
    </row>
    <row r="11" spans="2:10" ht="13.5">
      <c r="B11" s="313" t="s">
        <v>329</v>
      </c>
      <c r="C11" s="314"/>
      <c r="D11" s="314"/>
      <c r="E11" s="314"/>
      <c r="F11" s="314"/>
      <c r="G11" s="314"/>
      <c r="H11" s="314"/>
      <c r="I11" s="314"/>
      <c r="J11" s="314"/>
    </row>
    <row r="12" spans="6:7" ht="12.75">
      <c r="F12" s="223" t="s">
        <v>330</v>
      </c>
      <c r="G12" s="223"/>
    </row>
    <row r="20" spans="2:6" ht="15.75">
      <c r="B20" s="309" t="s">
        <v>331</v>
      </c>
      <c r="C20" s="310"/>
      <c r="D20" s="310"/>
      <c r="E20" s="310"/>
      <c r="F20" s="311"/>
    </row>
    <row r="22" spans="2:11" ht="12.75">
      <c r="B22" s="278" t="s">
        <v>332</v>
      </c>
      <c r="C22" s="279"/>
      <c r="D22" s="280" t="s">
        <v>333</v>
      </c>
      <c r="E22" s="281"/>
      <c r="F22" s="279" t="s">
        <v>334</v>
      </c>
      <c r="G22" s="280" t="s">
        <v>335</v>
      </c>
      <c r="H22" s="282"/>
      <c r="I22" s="282"/>
      <c r="J22" s="282"/>
      <c r="K22" s="283"/>
    </row>
    <row r="23" spans="2:11" ht="38.25" customHeight="1" thickBot="1">
      <c r="B23" s="284" t="s">
        <v>336</v>
      </c>
      <c r="C23" s="226"/>
      <c r="D23" s="225" t="s">
        <v>336</v>
      </c>
      <c r="E23" s="225"/>
      <c r="F23" s="226" t="s">
        <v>337</v>
      </c>
      <c r="G23" s="227" t="s">
        <v>338</v>
      </c>
      <c r="H23" s="88"/>
      <c r="I23" s="88"/>
      <c r="J23" s="88"/>
      <c r="K23" s="285"/>
    </row>
    <row r="24" spans="2:11" ht="37.5" customHeight="1" thickBot="1">
      <c r="B24" s="286" t="s">
        <v>339</v>
      </c>
      <c r="C24" s="229"/>
      <c r="D24" s="228" t="s">
        <v>336</v>
      </c>
      <c r="E24" s="228"/>
      <c r="F24" s="229" t="s">
        <v>340</v>
      </c>
      <c r="G24" s="230" t="s">
        <v>341</v>
      </c>
      <c r="H24" s="88"/>
      <c r="I24" s="88"/>
      <c r="J24" s="88"/>
      <c r="K24" s="285"/>
    </row>
    <row r="25" spans="2:11" ht="37.5" customHeight="1" thickBot="1">
      <c r="B25" s="286" t="s">
        <v>336</v>
      </c>
      <c r="C25" s="229"/>
      <c r="D25" s="228" t="s">
        <v>339</v>
      </c>
      <c r="E25" s="228"/>
      <c r="F25" s="229" t="s">
        <v>342</v>
      </c>
      <c r="G25" s="231" t="s">
        <v>343</v>
      </c>
      <c r="H25" s="88"/>
      <c r="I25" s="88"/>
      <c r="J25" s="88"/>
      <c r="K25" s="285"/>
    </row>
    <row r="26" spans="2:11" ht="37.5" customHeight="1" thickBot="1">
      <c r="B26" s="286" t="s">
        <v>339</v>
      </c>
      <c r="C26" s="229"/>
      <c r="D26" s="228" t="s">
        <v>339</v>
      </c>
      <c r="E26" s="228"/>
      <c r="F26" s="229" t="s">
        <v>344</v>
      </c>
      <c r="G26" s="231" t="s">
        <v>345</v>
      </c>
      <c r="H26" s="88"/>
      <c r="I26" s="88"/>
      <c r="J26" s="88"/>
      <c r="K26" s="285"/>
    </row>
    <row r="27" spans="1:11" ht="12.75">
      <c r="A27" s="232"/>
      <c r="B27" s="287" t="s">
        <v>346</v>
      </c>
      <c r="C27" s="288"/>
      <c r="D27" s="288"/>
      <c r="E27" s="288"/>
      <c r="F27" s="288"/>
      <c r="G27" s="288"/>
      <c r="H27" s="288"/>
      <c r="I27" s="288"/>
      <c r="J27" s="288"/>
      <c r="K27" s="289"/>
    </row>
    <row r="28" ht="13.5" thickBot="1"/>
    <row r="29" spans="2:7" ht="45.75" customHeight="1" thickBot="1" thickTop="1">
      <c r="B29" s="315" t="s">
        <v>347</v>
      </c>
      <c r="C29" s="316"/>
      <c r="D29" s="316"/>
      <c r="E29" s="316"/>
      <c r="F29" s="316"/>
      <c r="G29" s="317"/>
    </row>
    <row r="30" ht="13.5" thickTop="1"/>
    <row r="36" spans="1:4" ht="12.75">
      <c r="A36" s="318"/>
      <c r="B36" s="318"/>
      <c r="C36" s="318"/>
      <c r="D36" s="318"/>
    </row>
    <row r="37" spans="1:12" ht="12.75">
      <c r="A37" s="319"/>
      <c r="B37" s="319"/>
      <c r="C37" s="290"/>
      <c r="D37" s="319"/>
      <c r="E37" s="319"/>
      <c r="F37" s="319"/>
      <c r="G37" s="319"/>
      <c r="H37" s="233"/>
      <c r="I37" s="233"/>
      <c r="J37" s="233"/>
      <c r="K37" s="233"/>
      <c r="L37" s="233"/>
    </row>
    <row r="38" spans="1:12" ht="16.5" customHeight="1">
      <c r="A38" s="320"/>
      <c r="B38" s="320"/>
      <c r="C38" s="291"/>
      <c r="D38" s="321"/>
      <c r="E38" s="321"/>
      <c r="F38" s="321"/>
      <c r="G38" s="321"/>
      <c r="H38" s="178"/>
      <c r="I38" s="178"/>
      <c r="J38" s="178"/>
      <c r="K38" s="178"/>
      <c r="L38" s="178"/>
    </row>
    <row r="39" spans="1:12" ht="54.75" customHeight="1">
      <c r="A39" s="322"/>
      <c r="B39" s="322"/>
      <c r="C39" s="234"/>
      <c r="D39" s="323"/>
      <c r="E39" s="323"/>
      <c r="F39" s="323"/>
      <c r="G39" s="323"/>
      <c r="H39" s="178"/>
      <c r="I39" s="178"/>
      <c r="J39" s="178"/>
      <c r="K39" s="178"/>
      <c r="L39" s="178"/>
    </row>
    <row r="40" spans="1:7" ht="54.75" customHeight="1">
      <c r="A40" s="235"/>
      <c r="B40" s="236"/>
      <c r="C40" s="235"/>
      <c r="D40" s="305"/>
      <c r="E40" s="305"/>
      <c r="F40" s="305"/>
      <c r="G40" s="305"/>
    </row>
    <row r="41" spans="1:3" ht="12.75">
      <c r="A41" s="237"/>
      <c r="C41" s="237"/>
    </row>
    <row r="43" spans="1:7" ht="12.75">
      <c r="A43" s="237"/>
      <c r="B43" s="237"/>
      <c r="C43" s="237"/>
      <c r="D43" s="237"/>
      <c r="E43" s="237"/>
      <c r="F43" s="237"/>
      <c r="G43" s="237"/>
    </row>
    <row r="44" spans="1:7" ht="12.75">
      <c r="A44" s="237"/>
      <c r="B44" s="237"/>
      <c r="C44" s="237"/>
      <c r="D44" s="237"/>
      <c r="E44" s="237"/>
      <c r="F44" s="237"/>
      <c r="G44" s="237"/>
    </row>
  </sheetData>
  <mergeCells count="13">
    <mergeCell ref="D40:G40"/>
    <mergeCell ref="A38:B38"/>
    <mergeCell ref="D38:G38"/>
    <mergeCell ref="A39:B39"/>
    <mergeCell ref="D39:G39"/>
    <mergeCell ref="B29:G29"/>
    <mergeCell ref="A36:D36"/>
    <mergeCell ref="A37:B37"/>
    <mergeCell ref="D37:G37"/>
    <mergeCell ref="B20:F20"/>
    <mergeCell ref="B3:G3"/>
    <mergeCell ref="B5:H5"/>
    <mergeCell ref="B11:J11"/>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A257"/>
  <sheetViews>
    <sheetView workbookViewId="0" topLeftCell="A65536">
      <selection activeCell="D17" sqref="A1:IV16384"/>
    </sheetView>
  </sheetViews>
  <sheetFormatPr defaultColWidth="9.140625" defaultRowHeight="12.75" zeroHeight="1"/>
  <cols>
    <col min="1" max="1" width="12.28125" style="266" customWidth="1"/>
    <col min="2" max="2" width="15.140625" style="266" customWidth="1"/>
    <col min="3" max="3" width="13.7109375" style="240" customWidth="1"/>
    <col min="4" max="4" width="15.00390625" style="241" customWidth="1"/>
    <col min="5" max="5" width="19.00390625" style="242" customWidth="1"/>
    <col min="6" max="6" width="16.140625" style="243" customWidth="1"/>
    <col min="7" max="7" width="12.00390625" style="243" customWidth="1"/>
    <col min="8" max="8" width="13.7109375" style="243" customWidth="1"/>
    <col min="9" max="9" width="16.140625" style="240" customWidth="1"/>
    <col min="10" max="10" width="11.421875" style="243" customWidth="1"/>
    <col min="11" max="11" width="11.140625" style="240" customWidth="1"/>
    <col min="12" max="12" width="14.00390625" style="240" customWidth="1"/>
    <col min="13" max="13" width="12.57421875" style="240" customWidth="1"/>
    <col min="14" max="14" width="13.7109375" style="243" customWidth="1"/>
    <col min="15" max="15" width="12.28125" style="243" customWidth="1"/>
    <col min="16" max="16" width="14.28125" style="243" customWidth="1"/>
    <col min="17" max="17" width="10.00390625" style="243" customWidth="1"/>
    <col min="18" max="18" width="13.7109375" style="243" customWidth="1"/>
    <col min="19" max="19" width="11.421875" style="243" customWidth="1"/>
    <col min="20" max="20" width="11.140625" style="243" customWidth="1"/>
    <col min="21" max="21" width="11.421875" style="243" customWidth="1"/>
    <col min="22" max="22" width="19.57421875" style="244" customWidth="1"/>
    <col min="23" max="23" width="16.8515625" style="243" customWidth="1"/>
    <col min="24" max="24" width="13.140625" style="243" customWidth="1"/>
    <col min="25" max="25" width="15.421875" style="243" customWidth="1"/>
    <col min="26" max="26" width="17.421875" style="240" customWidth="1"/>
    <col min="27" max="27" width="12.8515625" style="243" customWidth="1"/>
    <col min="28" max="16384" width="9.140625" style="240" customWidth="1"/>
  </cols>
  <sheetData>
    <row r="1" spans="1:2" ht="15.75" hidden="1">
      <c r="A1" s="238" t="s">
        <v>348</v>
      </c>
      <c r="B1" s="239"/>
    </row>
    <row r="2" spans="1:6" ht="12.75" customHeight="1" hidden="1">
      <c r="A2" s="239"/>
      <c r="B2" s="239"/>
      <c r="F2" s="245"/>
    </row>
    <row r="3" spans="1:4" ht="12.75" customHeight="1" hidden="1">
      <c r="A3"/>
      <c r="B3"/>
      <c r="C3"/>
      <c r="D3"/>
    </row>
    <row r="4" spans="1:2" ht="12.75" hidden="1">
      <c r="A4" s="239"/>
      <c r="B4" s="239"/>
    </row>
    <row r="5" spans="1:27" s="249" customFormat="1" ht="12.75" hidden="1">
      <c r="A5" s="246" t="s">
        <v>349</v>
      </c>
      <c r="B5" s="246" t="s">
        <v>350</v>
      </c>
      <c r="C5" s="246" t="s">
        <v>351</v>
      </c>
      <c r="D5" s="247" t="s">
        <v>352</v>
      </c>
      <c r="E5" s="247" t="s">
        <v>353</v>
      </c>
      <c r="F5" s="246" t="s">
        <v>354</v>
      </c>
      <c r="G5" s="246" t="s">
        <v>355</v>
      </c>
      <c r="H5" s="246" t="s">
        <v>356</v>
      </c>
      <c r="I5" s="248" t="s">
        <v>357</v>
      </c>
      <c r="J5" s="246" t="s">
        <v>358</v>
      </c>
      <c r="K5" s="246" t="s">
        <v>359</v>
      </c>
      <c r="L5" s="246" t="s">
        <v>360</v>
      </c>
      <c r="M5" s="246" t="s">
        <v>361</v>
      </c>
      <c r="N5" s="246" t="s">
        <v>362</v>
      </c>
      <c r="O5" s="246" t="s">
        <v>363</v>
      </c>
      <c r="P5" s="246" t="s">
        <v>364</v>
      </c>
      <c r="Q5" s="246" t="s">
        <v>365</v>
      </c>
      <c r="R5" s="246" t="s">
        <v>366</v>
      </c>
      <c r="S5" s="246" t="s">
        <v>367</v>
      </c>
      <c r="T5" s="246" t="s">
        <v>368</v>
      </c>
      <c r="U5" s="246" t="s">
        <v>369</v>
      </c>
      <c r="V5" s="246" t="s">
        <v>370</v>
      </c>
      <c r="W5" s="246" t="s">
        <v>371</v>
      </c>
      <c r="X5" s="246" t="s">
        <v>372</v>
      </c>
      <c r="Y5" s="246" t="s">
        <v>373</v>
      </c>
      <c r="Z5" s="246" t="s">
        <v>374</v>
      </c>
      <c r="AA5" s="246" t="s">
        <v>375</v>
      </c>
    </row>
    <row r="6" spans="1:27" ht="20.25" customHeight="1" hidden="1">
      <c r="A6" s="246" t="s">
        <v>376</v>
      </c>
      <c r="B6" s="250" t="s">
        <v>377</v>
      </c>
      <c r="C6" s="251" t="s">
        <v>378</v>
      </c>
      <c r="D6" s="252" t="s">
        <v>379</v>
      </c>
      <c r="E6" s="253" t="s">
        <v>380</v>
      </c>
      <c r="F6" s="250" t="s">
        <v>381</v>
      </c>
      <c r="H6" s="250" t="s">
        <v>382</v>
      </c>
      <c r="I6" s="243"/>
      <c r="J6" s="250" t="s">
        <v>383</v>
      </c>
      <c r="K6" s="250" t="s">
        <v>384</v>
      </c>
      <c r="L6" s="251" t="s">
        <v>385</v>
      </c>
      <c r="M6" s="250" t="s">
        <v>386</v>
      </c>
      <c r="N6" s="250" t="s">
        <v>377</v>
      </c>
      <c r="O6" s="250" t="s">
        <v>377</v>
      </c>
      <c r="P6" s="250" t="s">
        <v>377</v>
      </c>
      <c r="Q6" s="250" t="s">
        <v>377</v>
      </c>
      <c r="R6" s="250" t="s">
        <v>377</v>
      </c>
      <c r="S6" s="250" t="s">
        <v>377</v>
      </c>
      <c r="T6" s="250" t="s">
        <v>377</v>
      </c>
      <c r="U6" s="250" t="s">
        <v>377</v>
      </c>
      <c r="V6" s="243" t="str">
        <f>"-120% to +120%"</f>
        <v>-120% to +120%</v>
      </c>
      <c r="W6" s="243" t="str">
        <f>"0% to +100%"</f>
        <v>0% to +100%</v>
      </c>
      <c r="X6" s="250" t="s">
        <v>377</v>
      </c>
      <c r="Y6" s="250" t="s">
        <v>387</v>
      </c>
      <c r="Z6" s="250" t="s">
        <v>382</v>
      </c>
      <c r="AA6" s="250" t="s">
        <v>377</v>
      </c>
    </row>
    <row r="7" spans="1:27" ht="20.25" customHeight="1" hidden="1">
      <c r="A7" s="246" t="s">
        <v>388</v>
      </c>
      <c r="B7" s="250" t="s">
        <v>389</v>
      </c>
      <c r="C7" s="250" t="s">
        <v>23</v>
      </c>
      <c r="D7" s="254" t="s">
        <v>390</v>
      </c>
      <c r="E7" s="254" t="s">
        <v>390</v>
      </c>
      <c r="F7" s="254" t="s">
        <v>390</v>
      </c>
      <c r="G7" s="254" t="s">
        <v>390</v>
      </c>
      <c r="H7" s="254" t="s">
        <v>390</v>
      </c>
      <c r="I7" s="250" t="s">
        <v>70</v>
      </c>
      <c r="J7" s="250" t="s">
        <v>73</v>
      </c>
      <c r="K7" s="250" t="s">
        <v>77</v>
      </c>
      <c r="L7" s="250" t="s">
        <v>89</v>
      </c>
      <c r="M7" s="250" t="s">
        <v>89</v>
      </c>
      <c r="N7" s="250" t="s">
        <v>89</v>
      </c>
      <c r="O7" s="250" t="s">
        <v>113</v>
      </c>
      <c r="P7" s="250" t="s">
        <v>128</v>
      </c>
      <c r="Q7" s="250" t="s">
        <v>141</v>
      </c>
      <c r="R7" s="250" t="s">
        <v>141</v>
      </c>
      <c r="S7" s="250" t="s">
        <v>316</v>
      </c>
      <c r="T7" s="250" t="s">
        <v>316</v>
      </c>
      <c r="U7" s="250" t="s">
        <v>316</v>
      </c>
      <c r="V7" s="250" t="s">
        <v>208</v>
      </c>
      <c r="W7" s="250" t="s">
        <v>222</v>
      </c>
      <c r="X7" s="250" t="s">
        <v>254</v>
      </c>
      <c r="Y7" s="250" t="s">
        <v>391</v>
      </c>
      <c r="Z7" s="250" t="s">
        <v>391</v>
      </c>
      <c r="AA7" s="250" t="s">
        <v>113</v>
      </c>
    </row>
    <row r="8" spans="1:26" ht="12.75" hidden="1">
      <c r="A8" s="250"/>
      <c r="B8" s="250"/>
      <c r="C8" s="250"/>
      <c r="D8" s="254" t="s">
        <v>60</v>
      </c>
      <c r="E8" s="254" t="s">
        <v>316</v>
      </c>
      <c r="F8" s="254"/>
      <c r="G8" s="254"/>
      <c r="H8" s="254"/>
      <c r="I8" s="250"/>
      <c r="J8" s="250"/>
      <c r="K8" s="250"/>
      <c r="L8" s="250" t="s">
        <v>100</v>
      </c>
      <c r="M8" s="250" t="s">
        <v>100</v>
      </c>
      <c r="N8" s="250" t="s">
        <v>100</v>
      </c>
      <c r="O8" s="250"/>
      <c r="P8" s="250"/>
      <c r="Q8" s="250"/>
      <c r="R8" s="250"/>
      <c r="S8" s="250"/>
      <c r="T8" s="250"/>
      <c r="U8" s="250"/>
      <c r="V8" s="250" t="s">
        <v>219</v>
      </c>
      <c r="W8" s="250" t="s">
        <v>275</v>
      </c>
      <c r="X8" s="250"/>
      <c r="Y8" s="250"/>
      <c r="Z8" s="250"/>
    </row>
    <row r="9" spans="1:26" ht="12.75" hidden="1">
      <c r="A9" s="250"/>
      <c r="B9" s="250"/>
      <c r="C9" s="250"/>
      <c r="D9" s="254"/>
      <c r="E9" s="254" t="s">
        <v>216</v>
      </c>
      <c r="F9" s="254"/>
      <c r="G9" s="254"/>
      <c r="H9" s="254"/>
      <c r="I9" s="250"/>
      <c r="J9" s="250"/>
      <c r="K9" s="250"/>
      <c r="L9" s="250"/>
      <c r="M9" s="250" t="s">
        <v>231</v>
      </c>
      <c r="N9" s="250" t="s">
        <v>141</v>
      </c>
      <c r="O9" s="250"/>
      <c r="P9" s="250"/>
      <c r="Q9" s="250"/>
      <c r="R9" s="250"/>
      <c r="S9" s="250"/>
      <c r="T9" s="250"/>
      <c r="U9" s="250"/>
      <c r="V9" s="250" t="s">
        <v>244</v>
      </c>
      <c r="W9" s="250"/>
      <c r="X9" s="250"/>
      <c r="Y9" s="250"/>
      <c r="Z9" s="250"/>
    </row>
    <row r="10" spans="1:26" ht="12.75" hidden="1">
      <c r="A10" s="250"/>
      <c r="B10" s="250"/>
      <c r="C10" s="250"/>
      <c r="D10" s="254"/>
      <c r="E10" s="250" t="s">
        <v>222</v>
      </c>
      <c r="F10" s="254"/>
      <c r="G10" s="254"/>
      <c r="H10" s="254"/>
      <c r="I10" s="250"/>
      <c r="J10" s="250"/>
      <c r="K10" s="250"/>
      <c r="L10" s="250"/>
      <c r="M10" s="250"/>
      <c r="N10" s="250" t="s">
        <v>316</v>
      </c>
      <c r="O10" s="250"/>
      <c r="P10" s="250"/>
      <c r="Q10" s="250"/>
      <c r="R10" s="250"/>
      <c r="S10" s="250"/>
      <c r="T10" s="250"/>
      <c r="U10" s="250"/>
      <c r="V10" s="250" t="s">
        <v>254</v>
      </c>
      <c r="W10" s="250"/>
      <c r="X10" s="250"/>
      <c r="Y10" s="250"/>
      <c r="Z10" s="250"/>
    </row>
    <row r="11" spans="1:26" ht="12.75" hidden="1">
      <c r="A11" s="250"/>
      <c r="B11" s="250"/>
      <c r="C11" s="250"/>
      <c r="D11" s="254"/>
      <c r="E11" s="250" t="s">
        <v>231</v>
      </c>
      <c r="F11" s="254"/>
      <c r="G11" s="254"/>
      <c r="H11" s="254"/>
      <c r="I11" s="250"/>
      <c r="J11" s="250"/>
      <c r="K11" s="250"/>
      <c r="L11" s="250"/>
      <c r="M11" s="250"/>
      <c r="N11" s="250" t="s">
        <v>231</v>
      </c>
      <c r="O11" s="250"/>
      <c r="P11" s="250"/>
      <c r="Q11" s="250"/>
      <c r="R11" s="250"/>
      <c r="S11" s="250"/>
      <c r="T11" s="250"/>
      <c r="U11" s="250"/>
      <c r="V11" s="250"/>
      <c r="W11" s="250"/>
      <c r="X11" s="250"/>
      <c r="Y11" s="250"/>
      <c r="Z11" s="250"/>
    </row>
    <row r="12" spans="1:26" ht="12.75" hidden="1">
      <c r="A12" s="250"/>
      <c r="B12" s="250"/>
      <c r="C12" s="250"/>
      <c r="D12" s="254"/>
      <c r="E12" s="250" t="s">
        <v>237</v>
      </c>
      <c r="F12" s="254"/>
      <c r="G12" s="254"/>
      <c r="H12" s="254"/>
      <c r="I12" s="250"/>
      <c r="J12" s="250"/>
      <c r="K12" s="250"/>
      <c r="L12" s="250"/>
      <c r="M12" s="250"/>
      <c r="N12" s="250"/>
      <c r="O12" s="250"/>
      <c r="P12" s="250"/>
      <c r="Q12" s="250"/>
      <c r="R12" s="250"/>
      <c r="S12" s="250"/>
      <c r="T12" s="250"/>
      <c r="U12" s="250"/>
      <c r="V12" s="250"/>
      <c r="W12" s="250"/>
      <c r="X12" s="250"/>
      <c r="Y12" s="250"/>
      <c r="Z12" s="250"/>
    </row>
    <row r="13" spans="1:26" ht="12.75" hidden="1">
      <c r="A13" s="250"/>
      <c r="B13" s="250"/>
      <c r="C13" s="250"/>
      <c r="D13" s="254"/>
      <c r="E13" s="254" t="s">
        <v>249</v>
      </c>
      <c r="F13" s="254"/>
      <c r="G13" s="254"/>
      <c r="H13" s="254"/>
      <c r="I13" s="250"/>
      <c r="J13" s="250"/>
      <c r="K13" s="250"/>
      <c r="L13" s="250"/>
      <c r="M13" s="250"/>
      <c r="N13" s="250"/>
      <c r="O13" s="250"/>
      <c r="P13" s="250"/>
      <c r="Q13" s="250"/>
      <c r="R13" s="250"/>
      <c r="S13" s="250"/>
      <c r="T13" s="250"/>
      <c r="U13" s="250"/>
      <c r="V13" s="250"/>
      <c r="W13" s="250"/>
      <c r="X13" s="250"/>
      <c r="Y13" s="250"/>
      <c r="Z13" s="250"/>
    </row>
    <row r="14" spans="1:26" ht="12.75" hidden="1">
      <c r="A14" s="250"/>
      <c r="B14" s="250"/>
      <c r="C14" s="250"/>
      <c r="D14" s="254"/>
      <c r="E14" s="254" t="s">
        <v>105</v>
      </c>
      <c r="F14" s="254"/>
      <c r="G14" s="254"/>
      <c r="H14" s="254"/>
      <c r="I14" s="250"/>
      <c r="J14" s="250"/>
      <c r="K14" s="250"/>
      <c r="L14" s="250"/>
      <c r="M14" s="250"/>
      <c r="N14" s="250"/>
      <c r="O14" s="250"/>
      <c r="P14" s="250"/>
      <c r="Q14" s="250"/>
      <c r="R14" s="250"/>
      <c r="S14" s="250"/>
      <c r="T14" s="250"/>
      <c r="U14" s="250"/>
      <c r="V14" s="250"/>
      <c r="W14" s="250"/>
      <c r="X14" s="250"/>
      <c r="Y14" s="250"/>
      <c r="Z14" s="250"/>
    </row>
    <row r="15" spans="1:26" ht="12.75" hidden="1">
      <c r="A15" s="250"/>
      <c r="B15" s="250"/>
      <c r="C15" s="250"/>
      <c r="D15" s="254"/>
      <c r="E15" s="254"/>
      <c r="F15" s="254"/>
      <c r="G15" s="254"/>
      <c r="H15" s="254"/>
      <c r="I15" s="250"/>
      <c r="J15" s="250"/>
      <c r="K15" s="250"/>
      <c r="L15" s="250"/>
      <c r="M15" s="250"/>
      <c r="N15" s="250"/>
      <c r="O15" s="250"/>
      <c r="P15" s="250"/>
      <c r="Q15" s="250"/>
      <c r="R15" s="250"/>
      <c r="S15" s="250"/>
      <c r="T15" s="250"/>
      <c r="U15" s="250"/>
      <c r="V15" s="250"/>
      <c r="W15" s="250"/>
      <c r="X15" s="250"/>
      <c r="Y15" s="250"/>
      <c r="Z15" s="250"/>
    </row>
    <row r="16" spans="1:27" s="257" customFormat="1" ht="6.75" customHeight="1" hidden="1">
      <c r="A16" s="255"/>
      <c r="B16" s="256"/>
      <c r="D16" s="258"/>
      <c r="E16" s="259"/>
      <c r="F16" s="260"/>
      <c r="G16" s="260"/>
      <c r="H16" s="260"/>
      <c r="J16" s="260"/>
      <c r="N16" s="260"/>
      <c r="O16" s="260"/>
      <c r="P16" s="260"/>
      <c r="Q16" s="260"/>
      <c r="R16" s="260"/>
      <c r="S16" s="260"/>
      <c r="T16" s="260"/>
      <c r="U16" s="260"/>
      <c r="V16" s="261"/>
      <c r="W16" s="260"/>
      <c r="X16" s="260"/>
      <c r="Y16" s="260"/>
      <c r="AA16" s="260"/>
    </row>
    <row r="17" spans="1:27" ht="12.75" hidden="1">
      <c r="A17" s="262" t="s">
        <v>392</v>
      </c>
      <c r="B17" s="263" t="s">
        <v>10</v>
      </c>
      <c r="C17" s="264" t="str">
        <f>"01"</f>
        <v>01</v>
      </c>
      <c r="D17" s="265" t="str">
        <f>"+140%"</f>
        <v>+140%</v>
      </c>
      <c r="E17" s="241" t="str">
        <f>"+100%"</f>
        <v>+100%</v>
      </c>
      <c r="F17" s="250" t="s">
        <v>53</v>
      </c>
      <c r="G17" s="250" t="s">
        <v>393</v>
      </c>
      <c r="H17" s="241" t="str">
        <f>"(100%)"</f>
        <v>(100%)</v>
      </c>
      <c r="I17" s="265" t="str">
        <f>"+120"</f>
        <v>+120</v>
      </c>
      <c r="J17" s="250" t="str">
        <f>"   NOR"</f>
        <v>   NOR</v>
      </c>
      <c r="K17" s="240">
        <v>40</v>
      </c>
      <c r="L17" s="241" t="str">
        <f>" 40%"</f>
        <v> 40%</v>
      </c>
      <c r="M17" s="250" t="s">
        <v>53</v>
      </c>
      <c r="N17" s="243" t="s">
        <v>145</v>
      </c>
      <c r="O17" s="250" t="s">
        <v>394</v>
      </c>
      <c r="P17" s="250" t="s">
        <v>131</v>
      </c>
      <c r="Q17" s="250" t="s">
        <v>53</v>
      </c>
      <c r="R17" s="243" t="s">
        <v>97</v>
      </c>
      <c r="S17" s="250" t="s">
        <v>34</v>
      </c>
      <c r="T17" s="250" t="s">
        <v>34</v>
      </c>
      <c r="U17" s="250" t="s">
        <v>53</v>
      </c>
      <c r="V17" s="272" t="str">
        <f>"+120%"</f>
        <v>+120%</v>
      </c>
      <c r="W17" s="265" t="str">
        <f>"+100%"</f>
        <v>+100%</v>
      </c>
      <c r="X17" s="250" t="s">
        <v>53</v>
      </c>
      <c r="Y17" s="243" t="str">
        <f>"100.0%"</f>
        <v>100.0%</v>
      </c>
      <c r="Z17" s="265" t="str">
        <f>"100%"</f>
        <v>100%</v>
      </c>
      <c r="AA17" s="250" t="s">
        <v>394</v>
      </c>
    </row>
    <row r="18" spans="1:27" ht="12.75" hidden="1">
      <c r="A18" s="239"/>
      <c r="B18" s="263" t="s">
        <v>11</v>
      </c>
      <c r="C18" s="264" t="str">
        <f>"02"</f>
        <v>02</v>
      </c>
      <c r="D18" s="265" t="str">
        <f>"+139%"</f>
        <v>+139%</v>
      </c>
      <c r="E18" s="241" t="str">
        <f>"+ 99%"</f>
        <v>+ 99%</v>
      </c>
      <c r="F18" s="250" t="s">
        <v>54</v>
      </c>
      <c r="G18" s="250" t="s">
        <v>395</v>
      </c>
      <c r="H18" s="241" t="str">
        <f>"( 99%)"</f>
        <v>( 99%)</v>
      </c>
      <c r="I18" s="265" t="str">
        <f>"+119"</f>
        <v>+119</v>
      </c>
      <c r="J18" s="250" t="str">
        <f>"REV   "</f>
        <v>REV   </v>
      </c>
      <c r="K18" s="240">
        <v>39</v>
      </c>
      <c r="L18" s="241" t="str">
        <f>" 39%"</f>
        <v> 39%</v>
      </c>
      <c r="M18" s="250" t="s">
        <v>54</v>
      </c>
      <c r="N18" s="243" t="s">
        <v>396</v>
      </c>
      <c r="O18" s="250" t="s">
        <v>123</v>
      </c>
      <c r="P18" s="250" t="s">
        <v>397</v>
      </c>
      <c r="Q18" s="250" t="s">
        <v>54</v>
      </c>
      <c r="R18" s="243" t="s">
        <v>145</v>
      </c>
      <c r="S18" s="250" t="s">
        <v>36</v>
      </c>
      <c r="T18" s="250" t="s">
        <v>36</v>
      </c>
      <c r="U18" s="250" t="s">
        <v>54</v>
      </c>
      <c r="V18" s="265" t="str">
        <f>"+119%"</f>
        <v>+119%</v>
      </c>
      <c r="W18" s="241" t="str">
        <f>"+ 99%"</f>
        <v>+ 99%</v>
      </c>
      <c r="X18" s="250" t="s">
        <v>54</v>
      </c>
      <c r="Y18" s="243" t="str">
        <f>" 99.5%"</f>
        <v> 99.5%</v>
      </c>
      <c r="Z18" s="241" t="str">
        <f>" 99%"</f>
        <v> 99%</v>
      </c>
      <c r="AA18" s="250" t="s">
        <v>123</v>
      </c>
    </row>
    <row r="19" spans="1:27" ht="12.75" hidden="1">
      <c r="A19" s="239"/>
      <c r="B19" s="263" t="s">
        <v>6</v>
      </c>
      <c r="C19" s="264" t="str">
        <f>"03"</f>
        <v>03</v>
      </c>
      <c r="D19" s="265" t="str">
        <f>"+138%"</f>
        <v>+138%</v>
      </c>
      <c r="E19" s="241" t="str">
        <f>"+ 98%"</f>
        <v>+ 98%</v>
      </c>
      <c r="F19" s="250" t="s">
        <v>102</v>
      </c>
      <c r="G19" s="250" t="s">
        <v>398</v>
      </c>
      <c r="H19" s="241" t="str">
        <f>"( 98%)"</f>
        <v>( 98%)</v>
      </c>
      <c r="I19" s="265" t="str">
        <f>"+118"</f>
        <v>+118</v>
      </c>
      <c r="K19" s="240">
        <v>38</v>
      </c>
      <c r="L19" s="241" t="str">
        <f>" 38%"</f>
        <v> 38%</v>
      </c>
      <c r="M19" s="250" t="s">
        <v>102</v>
      </c>
      <c r="N19" s="243" t="s">
        <v>192</v>
      </c>
      <c r="O19" s="250" t="s">
        <v>399</v>
      </c>
      <c r="P19" s="250" t="s">
        <v>400</v>
      </c>
      <c r="Q19" s="250" t="s">
        <v>102</v>
      </c>
      <c r="R19" s="243" t="s">
        <v>396</v>
      </c>
      <c r="S19" s="250" t="s">
        <v>37</v>
      </c>
      <c r="T19" s="250" t="s">
        <v>37</v>
      </c>
      <c r="U19" s="250" t="s">
        <v>102</v>
      </c>
      <c r="V19" s="265" t="str">
        <f>"+118%"</f>
        <v>+118%</v>
      </c>
      <c r="W19" s="241" t="str">
        <f>"+ 98%"</f>
        <v>+ 98%</v>
      </c>
      <c r="X19" s="250" t="s">
        <v>102</v>
      </c>
      <c r="Y19" s="243" t="str">
        <f>" 99.0%"</f>
        <v> 99.0%</v>
      </c>
      <c r="Z19" s="241" t="str">
        <f>" 98%"</f>
        <v> 98%</v>
      </c>
      <c r="AA19" s="250" t="s">
        <v>399</v>
      </c>
    </row>
    <row r="20" spans="1:27" ht="12.75" hidden="1">
      <c r="A20" s="239"/>
      <c r="B20" s="263" t="s">
        <v>12</v>
      </c>
      <c r="C20" s="264" t="str">
        <f>"04"</f>
        <v>04</v>
      </c>
      <c r="D20" s="265" t="str">
        <f>"+137%"</f>
        <v>+137%</v>
      </c>
      <c r="E20" s="241" t="str">
        <f>"+ 97%"</f>
        <v>+ 97%</v>
      </c>
      <c r="F20" s="250" t="s">
        <v>51</v>
      </c>
      <c r="G20" s="250"/>
      <c r="H20" s="241" t="str">
        <f>"( 97%)"</f>
        <v>( 97%)</v>
      </c>
      <c r="I20" s="265" t="str">
        <f>"+117"</f>
        <v>+117</v>
      </c>
      <c r="K20" s="240">
        <v>37</v>
      </c>
      <c r="L20" s="241" t="str">
        <f>" 37%"</f>
        <v> 37%</v>
      </c>
      <c r="M20" s="250" t="s">
        <v>51</v>
      </c>
      <c r="N20" s="243" t="s">
        <v>104</v>
      </c>
      <c r="O20" s="250" t="s">
        <v>401</v>
      </c>
      <c r="P20" s="250" t="s">
        <v>402</v>
      </c>
      <c r="Q20" s="250" t="s">
        <v>51</v>
      </c>
      <c r="R20" s="243" t="s">
        <v>192</v>
      </c>
      <c r="S20" s="250" t="s">
        <v>38</v>
      </c>
      <c r="T20" s="250" t="s">
        <v>38</v>
      </c>
      <c r="U20" s="250" t="s">
        <v>51</v>
      </c>
      <c r="V20" s="265" t="str">
        <f>"+117%"</f>
        <v>+117%</v>
      </c>
      <c r="W20" s="241" t="str">
        <f>"+ 97%"</f>
        <v>+ 97%</v>
      </c>
      <c r="X20" s="250" t="s">
        <v>51</v>
      </c>
      <c r="Y20" s="243" t="str">
        <f>" 98.5%"</f>
        <v> 98.5%</v>
      </c>
      <c r="Z20" s="241" t="str">
        <f>" 97%"</f>
        <v> 97%</v>
      </c>
      <c r="AA20" s="250" t="s">
        <v>401</v>
      </c>
    </row>
    <row r="21" spans="2:27" ht="12.75" hidden="1">
      <c r="B21" s="263" t="s">
        <v>13</v>
      </c>
      <c r="C21" s="267" t="str">
        <f>"05"</f>
        <v>05</v>
      </c>
      <c r="D21" s="265" t="str">
        <f>"+136%"</f>
        <v>+136%</v>
      </c>
      <c r="E21" s="241" t="str">
        <f>"+ 96%"</f>
        <v>+ 96%</v>
      </c>
      <c r="F21" s="250" t="s">
        <v>302</v>
      </c>
      <c r="H21" s="241" t="str">
        <f>"( 96%)"</f>
        <v>( 96%)</v>
      </c>
      <c r="I21" s="265" t="str">
        <f>"+116"</f>
        <v>+116</v>
      </c>
      <c r="K21" s="240">
        <v>36</v>
      </c>
      <c r="L21" s="241" t="str">
        <f>" 36%"</f>
        <v> 36%</v>
      </c>
      <c r="M21" s="250" t="s">
        <v>302</v>
      </c>
      <c r="N21" s="243" t="s">
        <v>146</v>
      </c>
      <c r="O21" s="250" t="s">
        <v>115</v>
      </c>
      <c r="P21" s="250" t="s">
        <v>403</v>
      </c>
      <c r="Q21" s="250" t="s">
        <v>302</v>
      </c>
      <c r="R21" s="243" t="s">
        <v>104</v>
      </c>
      <c r="S21" s="250" t="s">
        <v>404</v>
      </c>
      <c r="T21" s="250" t="s">
        <v>404</v>
      </c>
      <c r="U21" s="250" t="s">
        <v>302</v>
      </c>
      <c r="V21" s="265" t="str">
        <f>"+116%"</f>
        <v>+116%</v>
      </c>
      <c r="W21" s="241" t="str">
        <f>"+ 96%"</f>
        <v>+ 96%</v>
      </c>
      <c r="X21" s="250" t="s">
        <v>302</v>
      </c>
      <c r="Y21" s="243" t="str">
        <f>" 98.0%"</f>
        <v> 98.0%</v>
      </c>
      <c r="Z21" s="241" t="str">
        <f>" 96%"</f>
        <v> 96%</v>
      </c>
      <c r="AA21" s="250" t="s">
        <v>115</v>
      </c>
    </row>
    <row r="22" spans="2:27" ht="12.75" hidden="1">
      <c r="B22" s="3" t="s">
        <v>20</v>
      </c>
      <c r="C22" s="264" t="str">
        <f>"06"</f>
        <v>06</v>
      </c>
      <c r="D22" s="265" t="str">
        <f>"+135%"</f>
        <v>+135%</v>
      </c>
      <c r="E22" s="241" t="str">
        <f>"+ 95%"</f>
        <v>+ 95%</v>
      </c>
      <c r="F22" s="250" t="s">
        <v>303</v>
      </c>
      <c r="H22" s="241" t="str">
        <f>"( 95%)"</f>
        <v>( 95%)</v>
      </c>
      <c r="I22" s="265" t="str">
        <f>"+115"</f>
        <v>+115</v>
      </c>
      <c r="K22" s="240">
        <v>35</v>
      </c>
      <c r="L22" s="241" t="str">
        <f>" 35%"</f>
        <v> 35%</v>
      </c>
      <c r="M22" s="250" t="s">
        <v>303</v>
      </c>
      <c r="N22" s="243" t="s">
        <v>97</v>
      </c>
      <c r="O22" s="250" t="s">
        <v>405</v>
      </c>
      <c r="P22" s="250" t="s">
        <v>406</v>
      </c>
      <c r="Q22" s="250" t="s">
        <v>303</v>
      </c>
      <c r="R22" s="243" t="s">
        <v>146</v>
      </c>
      <c r="S22" s="250" t="s">
        <v>225</v>
      </c>
      <c r="T22" s="250" t="s">
        <v>225</v>
      </c>
      <c r="U22" s="250" t="s">
        <v>303</v>
      </c>
      <c r="V22" s="265" t="str">
        <f>"+115%"</f>
        <v>+115%</v>
      </c>
      <c r="W22" s="241" t="str">
        <f>"+ 95%"</f>
        <v>+ 95%</v>
      </c>
      <c r="X22" s="250" t="s">
        <v>303</v>
      </c>
      <c r="Y22" s="243" t="str">
        <f>" 97.5%"</f>
        <v> 97.5%</v>
      </c>
      <c r="Z22" s="241" t="str">
        <f>" 95%"</f>
        <v> 95%</v>
      </c>
      <c r="AA22" s="250" t="s">
        <v>405</v>
      </c>
    </row>
    <row r="23" spans="2:27" ht="12.75" hidden="1">
      <c r="B23" s="263" t="s">
        <v>407</v>
      </c>
      <c r="C23" s="264" t="str">
        <f>"07"</f>
        <v>07</v>
      </c>
      <c r="D23" s="265" t="str">
        <f>"+134%"</f>
        <v>+134%</v>
      </c>
      <c r="E23" s="241" t="str">
        <f>"+ 94%"</f>
        <v>+ 94%</v>
      </c>
      <c r="F23" s="250" t="s">
        <v>304</v>
      </c>
      <c r="H23" s="241" t="str">
        <f>"( 94%)"</f>
        <v>( 94%)</v>
      </c>
      <c r="I23" s="265" t="str">
        <f>"+114"</f>
        <v>+114</v>
      </c>
      <c r="K23" s="240">
        <v>34</v>
      </c>
      <c r="L23" s="241" t="str">
        <f>" 34%"</f>
        <v> 34%</v>
      </c>
      <c r="M23" s="250" t="s">
        <v>304</v>
      </c>
      <c r="O23" s="250" t="s">
        <v>408</v>
      </c>
      <c r="P23" s="250" t="s">
        <v>409</v>
      </c>
      <c r="Q23" s="250" t="s">
        <v>304</v>
      </c>
      <c r="R23" s="250" t="s">
        <v>410</v>
      </c>
      <c r="S23" s="250" t="s">
        <v>179</v>
      </c>
      <c r="T23" s="250" t="s">
        <v>179</v>
      </c>
      <c r="U23" s="250" t="s">
        <v>304</v>
      </c>
      <c r="V23" s="265" t="str">
        <f>"+114%"</f>
        <v>+114%</v>
      </c>
      <c r="W23" s="241" t="str">
        <f>"+ 94%"</f>
        <v>+ 94%</v>
      </c>
      <c r="X23" s="250" t="s">
        <v>304</v>
      </c>
      <c r="Y23" s="243" t="str">
        <f>" 97.0%"</f>
        <v> 97.0%</v>
      </c>
      <c r="Z23" s="241" t="str">
        <f>" 94%"</f>
        <v> 94%</v>
      </c>
      <c r="AA23" s="250" t="s">
        <v>408</v>
      </c>
    </row>
    <row r="24" spans="2:27" ht="12.75" hidden="1">
      <c r="B24" s="263" t="s">
        <v>411</v>
      </c>
      <c r="C24" s="264" t="str">
        <f>"08"</f>
        <v>08</v>
      </c>
      <c r="D24" s="265" t="str">
        <f>"+133%"</f>
        <v>+133%</v>
      </c>
      <c r="E24" s="241" t="str">
        <f>"+ 93%"</f>
        <v>+ 93%</v>
      </c>
      <c r="F24" s="250" t="s">
        <v>200</v>
      </c>
      <c r="H24" s="241" t="str">
        <f>"( 93%)"</f>
        <v>( 93%)</v>
      </c>
      <c r="I24" s="265" t="str">
        <f>"+113"</f>
        <v>+113</v>
      </c>
      <c r="K24" s="240">
        <v>33</v>
      </c>
      <c r="L24" s="241" t="str">
        <f>" 33%"</f>
        <v> 33%</v>
      </c>
      <c r="M24" s="250" t="s">
        <v>200</v>
      </c>
      <c r="O24" s="250" t="s">
        <v>412</v>
      </c>
      <c r="P24" s="250" t="s">
        <v>413</v>
      </c>
      <c r="Q24" s="250" t="s">
        <v>200</v>
      </c>
      <c r="R24" s="250"/>
      <c r="S24" s="250" t="s">
        <v>180</v>
      </c>
      <c r="T24" s="250" t="s">
        <v>180</v>
      </c>
      <c r="U24" s="250" t="s">
        <v>200</v>
      </c>
      <c r="V24" s="265" t="str">
        <f>"+113%"</f>
        <v>+113%</v>
      </c>
      <c r="W24" s="241" t="str">
        <f>"+ 93%"</f>
        <v>+ 93%</v>
      </c>
      <c r="X24" s="250" t="s">
        <v>200</v>
      </c>
      <c r="Y24" s="243" t="str">
        <f>" 96.0%"</f>
        <v> 96.0%</v>
      </c>
      <c r="Z24" s="241" t="str">
        <f>" 93%"</f>
        <v> 93%</v>
      </c>
      <c r="AA24" s="250" t="s">
        <v>412</v>
      </c>
    </row>
    <row r="25" spans="2:26" ht="12.75" hidden="1">
      <c r="B25" t="s">
        <v>414</v>
      </c>
      <c r="C25" s="264" t="str">
        <f>"09"</f>
        <v>09</v>
      </c>
      <c r="D25" s="265" t="str">
        <f>"+132%"</f>
        <v>+132%</v>
      </c>
      <c r="E25" s="241" t="str">
        <f>"+ 92%"</f>
        <v>+ 92%</v>
      </c>
      <c r="F25" s="250" t="s">
        <v>415</v>
      </c>
      <c r="H25" s="241" t="str">
        <f>"( 92%)"</f>
        <v>( 92%)</v>
      </c>
      <c r="I25" s="265" t="str">
        <f>"+112"</f>
        <v>+112</v>
      </c>
      <c r="K25" s="240">
        <v>32</v>
      </c>
      <c r="L25" s="241" t="str">
        <f>" 32%"</f>
        <v> 32%</v>
      </c>
      <c r="O25" s="250" t="s">
        <v>118</v>
      </c>
      <c r="Q25" s="250" t="s">
        <v>416</v>
      </c>
      <c r="R25" s="250"/>
      <c r="S25" s="250" t="s">
        <v>417</v>
      </c>
      <c r="U25" s="250" t="s">
        <v>416</v>
      </c>
      <c r="V25" s="265" t="str">
        <f>"+112%"</f>
        <v>+112%</v>
      </c>
      <c r="W25" s="241" t="str">
        <f>"+ 92%"</f>
        <v>+ 92%</v>
      </c>
      <c r="X25" s="250" t="s">
        <v>97</v>
      </c>
      <c r="Y25" s="243" t="str">
        <f>" 95.5%"</f>
        <v> 95.5%</v>
      </c>
      <c r="Z25" s="241" t="str">
        <f>" 92%"</f>
        <v> 92%</v>
      </c>
    </row>
    <row r="26" spans="2:26" ht="12.75" hidden="1">
      <c r="B26" s="3" t="s">
        <v>418</v>
      </c>
      <c r="C26" s="264" t="str">
        <f>"10"</f>
        <v>10</v>
      </c>
      <c r="D26" s="265" t="str">
        <f>"+131%"</f>
        <v>+131%</v>
      </c>
      <c r="E26" s="241" t="str">
        <f>"+ 91%"</f>
        <v>+ 91%</v>
      </c>
      <c r="F26" s="250" t="s">
        <v>419</v>
      </c>
      <c r="H26" s="241" t="str">
        <f>"( 91%)"</f>
        <v>( 91%)</v>
      </c>
      <c r="I26" s="265" t="str">
        <f>"+111"</f>
        <v>+111</v>
      </c>
      <c r="K26" s="240">
        <v>31</v>
      </c>
      <c r="L26" s="241" t="str">
        <f>" 31%"</f>
        <v> 31%</v>
      </c>
      <c r="O26" s="250" t="s">
        <v>420</v>
      </c>
      <c r="Q26" s="250" t="s">
        <v>421</v>
      </c>
      <c r="R26" s="250"/>
      <c r="S26" s="250" t="s">
        <v>422</v>
      </c>
      <c r="V26" s="265" t="str">
        <f>"+111%"</f>
        <v>+111%</v>
      </c>
      <c r="W26" s="241" t="str">
        <f>"+ 91%"</f>
        <v>+ 91%</v>
      </c>
      <c r="X26" s="250" t="s">
        <v>410</v>
      </c>
      <c r="Y26" s="243" t="str">
        <f>" 95.0%"</f>
        <v> 95.0%</v>
      </c>
      <c r="Z26" s="241" t="str">
        <f>" 91%"</f>
        <v> 91%</v>
      </c>
    </row>
    <row r="27" spans="2:26" ht="12.75" hidden="1">
      <c r="B27" s="3" t="s">
        <v>423</v>
      </c>
      <c r="C27" s="264" t="str">
        <f>"11"</f>
        <v>11</v>
      </c>
      <c r="D27" s="265" t="str">
        <f>"+130%"</f>
        <v>+130%</v>
      </c>
      <c r="E27" s="241" t="str">
        <f>"+ 90%"</f>
        <v>+ 90%</v>
      </c>
      <c r="F27" s="250" t="s">
        <v>424</v>
      </c>
      <c r="H27" s="241" t="str">
        <f>"( 90%)"</f>
        <v>( 90%)</v>
      </c>
      <c r="I27" s="265" t="str">
        <f>"+110"</f>
        <v>+110</v>
      </c>
      <c r="K27" s="240">
        <v>30</v>
      </c>
      <c r="L27" s="241" t="str">
        <f>" 30%"</f>
        <v> 30%</v>
      </c>
      <c r="O27" s="250" t="s">
        <v>425</v>
      </c>
      <c r="S27" s="250" t="s">
        <v>426</v>
      </c>
      <c r="V27" s="265" t="str">
        <f>"+110%"</f>
        <v>+110%</v>
      </c>
      <c r="W27" s="241" t="str">
        <f>"+ 90%"</f>
        <v>+ 90%</v>
      </c>
      <c r="Y27" s="243" t="str">
        <f>" 94.5%"</f>
        <v> 94.5%</v>
      </c>
      <c r="Z27" s="241" t="str">
        <f>" 90%"</f>
        <v> 90%</v>
      </c>
    </row>
    <row r="28" spans="2:26" ht="12.75" hidden="1">
      <c r="B28" s="3" t="s">
        <v>427</v>
      </c>
      <c r="C28" s="264" t="str">
        <f>"12"</f>
        <v>12</v>
      </c>
      <c r="D28" s="265" t="str">
        <f>"+129%"</f>
        <v>+129%</v>
      </c>
      <c r="E28" s="241" t="str">
        <f>"+ 89%"</f>
        <v>+ 89%</v>
      </c>
      <c r="F28" s="250" t="s">
        <v>428</v>
      </c>
      <c r="H28" s="241" t="str">
        <f>"( 89%)"</f>
        <v>( 89%)</v>
      </c>
      <c r="I28" s="265" t="str">
        <f>"+109"</f>
        <v>+109</v>
      </c>
      <c r="K28" s="240">
        <v>29</v>
      </c>
      <c r="L28" s="241" t="str">
        <f>" 29%"</f>
        <v> 29%</v>
      </c>
      <c r="O28" s="250" t="s">
        <v>120</v>
      </c>
      <c r="S28" s="250" t="s">
        <v>429</v>
      </c>
      <c r="V28" s="265" t="str">
        <f>"+109%"</f>
        <v>+109%</v>
      </c>
      <c r="W28" s="241" t="str">
        <f>"+ 89%"</f>
        <v>+ 89%</v>
      </c>
      <c r="Y28" s="243" t="str">
        <f>" 94.0%"</f>
        <v> 94.0%</v>
      </c>
      <c r="Z28" s="241" t="str">
        <f>" 89%"</f>
        <v> 89%</v>
      </c>
    </row>
    <row r="29" spans="2:26" ht="12.75" hidden="1">
      <c r="B29" s="3" t="s">
        <v>430</v>
      </c>
      <c r="C29" s="264" t="str">
        <f>"13"</f>
        <v>13</v>
      </c>
      <c r="D29" s="265" t="str">
        <f>"+128%"</f>
        <v>+128%</v>
      </c>
      <c r="E29" s="241" t="str">
        <f>"+ 88%"</f>
        <v>+ 88%</v>
      </c>
      <c r="H29" s="241" t="str">
        <f>"( 88%)"</f>
        <v>( 88%)</v>
      </c>
      <c r="I29" s="265" t="str">
        <f>"+108"</f>
        <v>+108</v>
      </c>
      <c r="K29" s="240">
        <v>28</v>
      </c>
      <c r="L29" s="241" t="str">
        <f>" 28%"</f>
        <v> 28%</v>
      </c>
      <c r="O29" s="250" t="s">
        <v>431</v>
      </c>
      <c r="S29" s="250" t="s">
        <v>432</v>
      </c>
      <c r="V29" s="265" t="str">
        <f>"+108%"</f>
        <v>+108%</v>
      </c>
      <c r="W29" s="241" t="str">
        <f>"+ 88%"</f>
        <v>+ 88%</v>
      </c>
      <c r="Y29" s="243" t="str">
        <f>" 93.5%"</f>
        <v> 93.5%</v>
      </c>
      <c r="Z29" s="241" t="str">
        <f>" 88%"</f>
        <v> 88%</v>
      </c>
    </row>
    <row r="30" spans="2:26" ht="12.75" hidden="1">
      <c r="B30" s="263" t="s">
        <v>433</v>
      </c>
      <c r="C30" s="264" t="str">
        <f>"14"</f>
        <v>14</v>
      </c>
      <c r="D30" s="265" t="str">
        <f>"+127%"</f>
        <v>+127%</v>
      </c>
      <c r="E30" s="241" t="str">
        <f>"+ 87%"</f>
        <v>+ 87%</v>
      </c>
      <c r="H30" s="241" t="str">
        <f>"( 87%)"</f>
        <v>( 87%)</v>
      </c>
      <c r="I30" s="265" t="str">
        <f>"+107"</f>
        <v>+107</v>
      </c>
      <c r="K30" s="240">
        <v>27</v>
      </c>
      <c r="L30" s="241" t="str">
        <f>" 27%"</f>
        <v> 27%</v>
      </c>
      <c r="S30" s="250" t="s">
        <v>176</v>
      </c>
      <c r="V30" s="265" t="str">
        <f>"+107%"</f>
        <v>+107%</v>
      </c>
      <c r="W30" s="241" t="str">
        <f>"+ 87%"</f>
        <v>+ 87%</v>
      </c>
      <c r="Y30" s="243" t="str">
        <f>" 93.0%"</f>
        <v> 93.0%</v>
      </c>
      <c r="Z30" s="241" t="str">
        <f>" 87%"</f>
        <v> 87%</v>
      </c>
    </row>
    <row r="31" spans="2:26" ht="12.75" hidden="1">
      <c r="B31" s="3" t="s">
        <v>434</v>
      </c>
      <c r="D31" s="265" t="str">
        <f>"+126%"</f>
        <v>+126%</v>
      </c>
      <c r="E31" s="241" t="str">
        <f>"+ 86%"</f>
        <v>+ 86%</v>
      </c>
      <c r="H31" s="241" t="str">
        <f>"( 86%)"</f>
        <v>( 86%)</v>
      </c>
      <c r="I31" s="265" t="str">
        <f>"+106"</f>
        <v>+106</v>
      </c>
      <c r="K31" s="240">
        <v>26</v>
      </c>
      <c r="L31" s="241" t="str">
        <f>" 26%"</f>
        <v> 26%</v>
      </c>
      <c r="V31" s="265" t="str">
        <f>"+106%"</f>
        <v>+106%</v>
      </c>
      <c r="W31" s="241" t="str">
        <f>"+ 86%"</f>
        <v>+ 86%</v>
      </c>
      <c r="Y31" s="243" t="str">
        <f>" 92.5%"</f>
        <v> 92.5%</v>
      </c>
      <c r="Z31" s="241" t="str">
        <f>" 86%"</f>
        <v> 86%</v>
      </c>
    </row>
    <row r="32" spans="2:26" ht="12.75" hidden="1">
      <c r="B32" s="3" t="s">
        <v>435</v>
      </c>
      <c r="D32" s="265" t="str">
        <f>"+125%"</f>
        <v>+125%</v>
      </c>
      <c r="E32" s="241" t="str">
        <f>"+ 85%"</f>
        <v>+ 85%</v>
      </c>
      <c r="H32" s="241" t="str">
        <f>"( 85%)"</f>
        <v>( 85%)</v>
      </c>
      <c r="I32" s="265" t="str">
        <f>"+105"</f>
        <v>+105</v>
      </c>
      <c r="K32" s="240">
        <v>25</v>
      </c>
      <c r="L32" s="241" t="str">
        <f>" 25%"</f>
        <v> 25%</v>
      </c>
      <c r="V32" s="265" t="str">
        <f>"+105%"</f>
        <v>+105%</v>
      </c>
      <c r="W32" s="241" t="str">
        <f>"+ 85%"</f>
        <v>+ 85%</v>
      </c>
      <c r="Y32" s="243" t="str">
        <f>" 92.0%"</f>
        <v> 92.0%</v>
      </c>
      <c r="Z32" s="241" t="str">
        <f>" 85%"</f>
        <v> 85%</v>
      </c>
    </row>
    <row r="33" spans="2:26" ht="12.75" hidden="1">
      <c r="B33" s="3" t="s">
        <v>436</v>
      </c>
      <c r="D33" s="265" t="str">
        <f>"+124%"</f>
        <v>+124%</v>
      </c>
      <c r="E33" s="241" t="str">
        <f>"+ 84%"</f>
        <v>+ 84%</v>
      </c>
      <c r="H33" s="241" t="str">
        <f>"( 84%)"</f>
        <v>( 84%)</v>
      </c>
      <c r="I33" s="265" t="str">
        <f>"+104"</f>
        <v>+104</v>
      </c>
      <c r="K33" s="240">
        <v>24</v>
      </c>
      <c r="L33" s="241" t="str">
        <f>" 24%"</f>
        <v> 24%</v>
      </c>
      <c r="V33" s="265" t="str">
        <f>"+104%"</f>
        <v>+104%</v>
      </c>
      <c r="W33" s="241" t="str">
        <f>"+ 84%"</f>
        <v>+ 84%</v>
      </c>
      <c r="Y33" s="243" t="str">
        <f>" 91.5%"</f>
        <v> 91.5%</v>
      </c>
      <c r="Z33" s="241" t="str">
        <f>" 84%"</f>
        <v> 84%</v>
      </c>
    </row>
    <row r="34" spans="2:26" ht="12.75" hidden="1">
      <c r="B34" s="263" t="s">
        <v>437</v>
      </c>
      <c r="D34" s="265" t="str">
        <f>"+123%"</f>
        <v>+123%</v>
      </c>
      <c r="E34" s="241" t="str">
        <f>"+ 83%"</f>
        <v>+ 83%</v>
      </c>
      <c r="H34" s="241" t="str">
        <f>"( 83%)"</f>
        <v>( 83%)</v>
      </c>
      <c r="I34" s="265" t="str">
        <f>"+103"</f>
        <v>+103</v>
      </c>
      <c r="K34" s="240">
        <v>23</v>
      </c>
      <c r="L34" s="241" t="str">
        <f>" 23%"</f>
        <v> 23%</v>
      </c>
      <c r="V34" s="265" t="str">
        <f>"+103%"</f>
        <v>+103%</v>
      </c>
      <c r="W34" s="241" t="str">
        <f>"+ 83%"</f>
        <v>+ 83%</v>
      </c>
      <c r="Y34" s="243" t="str">
        <f>" 91.0%"</f>
        <v> 91.0%</v>
      </c>
      <c r="Z34" s="241" t="str">
        <f>" 83%"</f>
        <v> 83%</v>
      </c>
    </row>
    <row r="35" spans="2:26" ht="12.75" hidden="1">
      <c r="B35" s="263" t="s">
        <v>438</v>
      </c>
      <c r="D35" s="265" t="str">
        <f>"+122%"</f>
        <v>+122%</v>
      </c>
      <c r="E35" s="241" t="str">
        <f>"+ 82%"</f>
        <v>+ 82%</v>
      </c>
      <c r="H35" s="241" t="str">
        <f>"( 82%)"</f>
        <v>( 82%)</v>
      </c>
      <c r="I35" s="265" t="str">
        <f>"+102"</f>
        <v>+102</v>
      </c>
      <c r="K35" s="240">
        <v>22</v>
      </c>
      <c r="L35" s="241" t="str">
        <f>" 22%"</f>
        <v> 22%</v>
      </c>
      <c r="V35" s="265" t="str">
        <f>"+102%"</f>
        <v>+102%</v>
      </c>
      <c r="W35" s="241" t="str">
        <f>"+ 82%"</f>
        <v>+ 82%</v>
      </c>
      <c r="Y35" s="243" t="str">
        <f>" 90.5%"</f>
        <v> 90.5%</v>
      </c>
      <c r="Z35" s="241" t="str">
        <f>" 82%"</f>
        <v> 82%</v>
      </c>
    </row>
    <row r="36" spans="2:26" ht="12.75" hidden="1">
      <c r="B36" s="263" t="s">
        <v>439</v>
      </c>
      <c r="D36" s="265" t="str">
        <f>"+121%"</f>
        <v>+121%</v>
      </c>
      <c r="E36" s="241" t="str">
        <f>"+ 81%"</f>
        <v>+ 81%</v>
      </c>
      <c r="H36" s="241" t="str">
        <f>"( 81%)"</f>
        <v>( 81%)</v>
      </c>
      <c r="I36" s="265" t="str">
        <f>"+101"</f>
        <v>+101</v>
      </c>
      <c r="K36" s="240">
        <v>21</v>
      </c>
      <c r="L36" s="241" t="str">
        <f>" 21%"</f>
        <v> 21%</v>
      </c>
      <c r="V36" s="265" t="str">
        <f>"+101%"</f>
        <v>+101%</v>
      </c>
      <c r="W36" s="241" t="str">
        <f>"+ 81%"</f>
        <v>+ 81%</v>
      </c>
      <c r="Y36" s="243" t="str">
        <f>" 90.0%"</f>
        <v> 90.0%</v>
      </c>
      <c r="Z36" s="241" t="str">
        <f>" 81%"</f>
        <v> 81%</v>
      </c>
    </row>
    <row r="37" spans="2:26" ht="12.75" hidden="1">
      <c r="B37" s="3" t="s">
        <v>440</v>
      </c>
      <c r="D37" s="265" t="str">
        <f>"+120%"</f>
        <v>+120%</v>
      </c>
      <c r="E37" s="241" t="str">
        <f>"+ 80%"</f>
        <v>+ 80%</v>
      </c>
      <c r="H37" s="241" t="str">
        <f>"( 80%)"</f>
        <v>( 80%)</v>
      </c>
      <c r="I37" s="265" t="str">
        <f>"+100"</f>
        <v>+100</v>
      </c>
      <c r="K37" s="240">
        <v>20</v>
      </c>
      <c r="L37" s="241" t="str">
        <f>" 20%"</f>
        <v> 20%</v>
      </c>
      <c r="V37" s="265" t="str">
        <f>"+100%"</f>
        <v>+100%</v>
      </c>
      <c r="W37" s="241" t="str">
        <f>"+ 80%"</f>
        <v>+ 80%</v>
      </c>
      <c r="Y37" s="243" t="str">
        <f>" 89.5%"</f>
        <v> 89.5%</v>
      </c>
      <c r="Z37" s="241" t="str">
        <f>" 80%"</f>
        <v> 80%</v>
      </c>
    </row>
    <row r="38" spans="4:26" ht="12.75" hidden="1">
      <c r="D38" s="265" t="str">
        <f>"+119%"</f>
        <v>+119%</v>
      </c>
      <c r="E38" s="241" t="str">
        <f>"+ 79%"</f>
        <v>+ 79%</v>
      </c>
      <c r="H38" s="241" t="str">
        <f>"( 79%)"</f>
        <v>( 79%)</v>
      </c>
      <c r="I38" s="241" t="str">
        <f>"+ 99"</f>
        <v>+ 99</v>
      </c>
      <c r="K38" s="240">
        <v>19</v>
      </c>
      <c r="L38" s="241" t="str">
        <f>" 19%"</f>
        <v> 19%</v>
      </c>
      <c r="V38" s="241" t="str">
        <f>"+ 99%"</f>
        <v>+ 99%</v>
      </c>
      <c r="W38" s="241" t="str">
        <f>"+ 79%"</f>
        <v>+ 79%</v>
      </c>
      <c r="Y38" s="243" t="str">
        <f>" 89.0%"</f>
        <v> 89.0%</v>
      </c>
      <c r="Z38" s="241" t="str">
        <f>" 79%"</f>
        <v> 79%</v>
      </c>
    </row>
    <row r="39" spans="4:26" ht="12.75" hidden="1">
      <c r="D39" s="265" t="str">
        <f>"+118%"</f>
        <v>+118%</v>
      </c>
      <c r="E39" s="241" t="str">
        <f>"+ 78%"</f>
        <v>+ 78%</v>
      </c>
      <c r="H39" s="241" t="str">
        <f>"( 78%)"</f>
        <v>( 78%)</v>
      </c>
      <c r="I39" s="241" t="str">
        <f>"+ 98"</f>
        <v>+ 98</v>
      </c>
      <c r="K39" s="240">
        <v>18</v>
      </c>
      <c r="L39" s="241" t="str">
        <f>" 18%"</f>
        <v> 18%</v>
      </c>
      <c r="V39" s="241" t="str">
        <f>"+ 98%"</f>
        <v>+ 98%</v>
      </c>
      <c r="W39" s="241" t="str">
        <f>"+ 78%"</f>
        <v>+ 78%</v>
      </c>
      <c r="Y39" s="243" t="str">
        <f>" 88.5%"</f>
        <v> 88.5%</v>
      </c>
      <c r="Z39" s="241" t="str">
        <f>" 78%"</f>
        <v> 78%</v>
      </c>
    </row>
    <row r="40" spans="4:26" ht="12.75" hidden="1">
      <c r="D40" s="265" t="str">
        <f>"+117%"</f>
        <v>+117%</v>
      </c>
      <c r="E40" s="241" t="str">
        <f>"+ 77%"</f>
        <v>+ 77%</v>
      </c>
      <c r="H40" s="241" t="str">
        <f>"( 77%)"</f>
        <v>( 77%)</v>
      </c>
      <c r="I40" s="241" t="str">
        <f>"+ 97"</f>
        <v>+ 97</v>
      </c>
      <c r="K40" s="240">
        <v>17</v>
      </c>
      <c r="L40" s="241" t="str">
        <f>" 17%"</f>
        <v> 17%</v>
      </c>
      <c r="V40" s="241" t="str">
        <f>"+ 97%"</f>
        <v>+ 97%</v>
      </c>
      <c r="W40" s="241" t="str">
        <f>"+ 77%"</f>
        <v>+ 77%</v>
      </c>
      <c r="Y40" s="243" t="str">
        <f>" 88.0%"</f>
        <v> 88.0%</v>
      </c>
      <c r="Z40" s="241" t="str">
        <f>" 77%"</f>
        <v> 77%</v>
      </c>
    </row>
    <row r="41" spans="4:26" ht="12.75" hidden="1">
      <c r="D41" s="265" t="str">
        <f>"+116%"</f>
        <v>+116%</v>
      </c>
      <c r="E41" s="241" t="str">
        <f>"+ 76%"</f>
        <v>+ 76%</v>
      </c>
      <c r="H41" s="241" t="str">
        <f>"( 76%)"</f>
        <v>( 76%)</v>
      </c>
      <c r="I41" s="241" t="str">
        <f>"+ 96"</f>
        <v>+ 96</v>
      </c>
      <c r="K41" s="240">
        <v>16</v>
      </c>
      <c r="L41" s="241" t="str">
        <f>" 16%"</f>
        <v> 16%</v>
      </c>
      <c r="V41" s="241" t="str">
        <f>"+ 96%"</f>
        <v>+ 96%</v>
      </c>
      <c r="W41" s="241" t="str">
        <f>"+ 76%"</f>
        <v>+ 76%</v>
      </c>
      <c r="Y41" s="243" t="str">
        <f>" 87.5%"</f>
        <v> 87.5%</v>
      </c>
      <c r="Z41" s="241" t="str">
        <f>" 76%"</f>
        <v> 76%</v>
      </c>
    </row>
    <row r="42" spans="4:26" ht="12.75" hidden="1">
      <c r="D42" s="265" t="str">
        <f>"+115%"</f>
        <v>+115%</v>
      </c>
      <c r="E42" s="241" t="str">
        <f>"+ 75%"</f>
        <v>+ 75%</v>
      </c>
      <c r="H42" s="241" t="str">
        <f>"( 75%)"</f>
        <v>( 75%)</v>
      </c>
      <c r="I42" s="241" t="str">
        <f>"+ 95"</f>
        <v>+ 95</v>
      </c>
      <c r="K42" s="240">
        <v>15</v>
      </c>
      <c r="L42" s="241" t="str">
        <f>" 15%"</f>
        <v> 15%</v>
      </c>
      <c r="V42" s="241" t="str">
        <f>"+ 95%"</f>
        <v>+ 95%</v>
      </c>
      <c r="W42" s="241" t="str">
        <f>"+ 75%"</f>
        <v>+ 75%</v>
      </c>
      <c r="Y42" s="243" t="str">
        <f>" 87.0%"</f>
        <v> 87.0%</v>
      </c>
      <c r="Z42" s="241" t="str">
        <f>" 75%"</f>
        <v> 75%</v>
      </c>
    </row>
    <row r="43" spans="4:26" ht="12.75" hidden="1">
      <c r="D43" s="265" t="str">
        <f>"+114%"</f>
        <v>+114%</v>
      </c>
      <c r="E43" s="241" t="str">
        <f>"+ 74%"</f>
        <v>+ 74%</v>
      </c>
      <c r="H43" s="241" t="str">
        <f>"( 74%)"</f>
        <v>( 74%)</v>
      </c>
      <c r="I43" s="241" t="str">
        <f>"+ 94"</f>
        <v>+ 94</v>
      </c>
      <c r="K43" s="240">
        <v>14</v>
      </c>
      <c r="L43" s="241" t="str">
        <f>" 14%"</f>
        <v> 14%</v>
      </c>
      <c r="V43" s="241" t="str">
        <f>"+ 94%"</f>
        <v>+ 94%</v>
      </c>
      <c r="W43" s="241" t="str">
        <f>"+ 74%"</f>
        <v>+ 74%</v>
      </c>
      <c r="Y43" s="243" t="str">
        <f>" 86.0%"</f>
        <v> 86.0%</v>
      </c>
      <c r="Z43" s="241" t="str">
        <f>" 74%"</f>
        <v> 74%</v>
      </c>
    </row>
    <row r="44" spans="4:26" ht="12.75" hidden="1">
      <c r="D44" s="265" t="str">
        <f>"+113%"</f>
        <v>+113%</v>
      </c>
      <c r="E44" s="241" t="str">
        <f>"+ 73%"</f>
        <v>+ 73%</v>
      </c>
      <c r="H44" s="241" t="str">
        <f>"( 73%)"</f>
        <v>( 73%)</v>
      </c>
      <c r="I44" s="241" t="str">
        <f>"+ 93"</f>
        <v>+ 93</v>
      </c>
      <c r="K44" s="240">
        <v>13</v>
      </c>
      <c r="L44" s="241" t="str">
        <f>" 13%"</f>
        <v> 13%</v>
      </c>
      <c r="V44" s="241" t="str">
        <f>"+ 93%"</f>
        <v>+ 93%</v>
      </c>
      <c r="W44" s="241" t="str">
        <f>"+ 73%"</f>
        <v>+ 73%</v>
      </c>
      <c r="Y44" s="243" t="str">
        <f>" 85.5%"</f>
        <v> 85.5%</v>
      </c>
      <c r="Z44" s="241" t="str">
        <f>" 73%"</f>
        <v> 73%</v>
      </c>
    </row>
    <row r="45" spans="4:26" ht="12.75" hidden="1">
      <c r="D45" s="265" t="str">
        <f>"+112%"</f>
        <v>+112%</v>
      </c>
      <c r="E45" s="241" t="str">
        <f>"+ 72%"</f>
        <v>+ 72%</v>
      </c>
      <c r="H45" s="241" t="str">
        <f>"( 72%)"</f>
        <v>( 72%)</v>
      </c>
      <c r="I45" s="241" t="str">
        <f>"+ 92"</f>
        <v>+ 92</v>
      </c>
      <c r="K45" s="240">
        <v>12</v>
      </c>
      <c r="L45" s="241" t="str">
        <f>" 12%"</f>
        <v> 12%</v>
      </c>
      <c r="V45" s="241" t="str">
        <f>"+ 92%"</f>
        <v>+ 92%</v>
      </c>
      <c r="W45" s="241" t="str">
        <f>"+ 72%"</f>
        <v>+ 72%</v>
      </c>
      <c r="Y45" s="243" t="str">
        <f>" 85.0%"</f>
        <v> 85.0%</v>
      </c>
      <c r="Z45" s="241" t="str">
        <f>" 72%"</f>
        <v> 72%</v>
      </c>
    </row>
    <row r="46" spans="4:26" ht="12.75" hidden="1">
      <c r="D46" s="265" t="str">
        <f>"+111%"</f>
        <v>+111%</v>
      </c>
      <c r="E46" s="241" t="str">
        <f>"+ 71%"</f>
        <v>+ 71%</v>
      </c>
      <c r="H46" s="241" t="str">
        <f>"( 71%)"</f>
        <v>( 71%)</v>
      </c>
      <c r="I46" s="241" t="str">
        <f>"+ 91"</f>
        <v>+ 91</v>
      </c>
      <c r="K46" s="240">
        <v>11</v>
      </c>
      <c r="L46" s="241" t="str">
        <f>" 11%"</f>
        <v> 11%</v>
      </c>
      <c r="V46" s="241" t="str">
        <f>"+ 91%"</f>
        <v>+ 91%</v>
      </c>
      <c r="W46" s="241" t="str">
        <f>"+ 71%"</f>
        <v>+ 71%</v>
      </c>
      <c r="Y46" s="243" t="str">
        <f>" 84.5%"</f>
        <v> 84.5%</v>
      </c>
      <c r="Z46" s="241" t="str">
        <f>" 71%"</f>
        <v> 71%</v>
      </c>
    </row>
    <row r="47" spans="4:26" ht="12.75" hidden="1">
      <c r="D47" s="265" t="str">
        <f>"+110%"</f>
        <v>+110%</v>
      </c>
      <c r="E47" s="241" t="str">
        <f>"+ 70%"</f>
        <v>+ 70%</v>
      </c>
      <c r="H47" s="241" t="str">
        <f>"( 70%)"</f>
        <v>( 70%)</v>
      </c>
      <c r="I47" s="241" t="str">
        <f>"+ 90"</f>
        <v>+ 90</v>
      </c>
      <c r="K47" s="240">
        <v>10</v>
      </c>
      <c r="L47" s="265" t="str">
        <f>" 10%"</f>
        <v> 10%</v>
      </c>
      <c r="V47" s="241" t="str">
        <f>"+ 90%"</f>
        <v>+ 90%</v>
      </c>
      <c r="W47" s="241" t="str">
        <f>"+ 70%"</f>
        <v>+ 70%</v>
      </c>
      <c r="Y47" s="243" t="str">
        <f>" 84.0%"</f>
        <v> 84.0%</v>
      </c>
      <c r="Z47" s="241" t="str">
        <f>" 70%"</f>
        <v> 70%</v>
      </c>
    </row>
    <row r="48" spans="4:26" ht="12.75" hidden="1">
      <c r="D48" s="265" t="str">
        <f>"+109%"</f>
        <v>+109%</v>
      </c>
      <c r="E48" s="241" t="str">
        <f>"+ 69%"</f>
        <v>+ 69%</v>
      </c>
      <c r="H48" s="241" t="str">
        <f>"( 69%)"</f>
        <v>( 69%)</v>
      </c>
      <c r="I48" s="241" t="str">
        <f>"+ 89"</f>
        <v>+ 89</v>
      </c>
      <c r="K48" s="240">
        <v>9</v>
      </c>
      <c r="L48" s="264" t="str">
        <f>"  9%"</f>
        <v>  9%</v>
      </c>
      <c r="V48" s="241" t="str">
        <f>"+ 89%"</f>
        <v>+ 89%</v>
      </c>
      <c r="W48" s="241" t="str">
        <f>"+ 69%"</f>
        <v>+ 69%</v>
      </c>
      <c r="Y48" s="243" t="str">
        <f>" 83.5%"</f>
        <v> 83.5%</v>
      </c>
      <c r="Z48" s="241" t="str">
        <f>" 69%"</f>
        <v> 69%</v>
      </c>
    </row>
    <row r="49" spans="4:26" ht="12.75" hidden="1">
      <c r="D49" s="265" t="str">
        <f>"+108%"</f>
        <v>+108%</v>
      </c>
      <c r="E49" s="241" t="str">
        <f>"+ 68%"</f>
        <v>+ 68%</v>
      </c>
      <c r="H49" s="241" t="str">
        <f>"( 68%)"</f>
        <v>( 68%)</v>
      </c>
      <c r="I49" s="241" t="str">
        <f>"+ 88"</f>
        <v>+ 88</v>
      </c>
      <c r="K49" s="240">
        <v>8</v>
      </c>
      <c r="L49" s="264" t="str">
        <f>"  8%"</f>
        <v>  8%</v>
      </c>
      <c r="V49" s="241" t="str">
        <f>"+ 88%"</f>
        <v>+ 88%</v>
      </c>
      <c r="W49" s="241" t="str">
        <f>"+ 68%"</f>
        <v>+ 68%</v>
      </c>
      <c r="Y49" s="243" t="str">
        <f>" 83.0%"</f>
        <v> 83.0%</v>
      </c>
      <c r="Z49" s="241" t="str">
        <f>" 68%"</f>
        <v> 68%</v>
      </c>
    </row>
    <row r="50" spans="4:26" ht="12.75" hidden="1">
      <c r="D50" s="265" t="str">
        <f>"+107%"</f>
        <v>+107%</v>
      </c>
      <c r="E50" s="241" t="str">
        <f>"+ 67%"</f>
        <v>+ 67%</v>
      </c>
      <c r="H50" s="241" t="str">
        <f>"( 67%)"</f>
        <v>( 67%)</v>
      </c>
      <c r="I50" s="241" t="str">
        <f>"+ 87"</f>
        <v>+ 87</v>
      </c>
      <c r="K50" s="240">
        <v>7</v>
      </c>
      <c r="L50" s="264" t="str">
        <f>"  7%"</f>
        <v>  7%</v>
      </c>
      <c r="V50" s="241" t="str">
        <f>"+ 87%"</f>
        <v>+ 87%</v>
      </c>
      <c r="W50" s="241" t="str">
        <f>"+ 67%"</f>
        <v>+ 67%</v>
      </c>
      <c r="Y50" s="243" t="str">
        <f>" 82.5%"</f>
        <v> 82.5%</v>
      </c>
      <c r="Z50" s="241" t="str">
        <f>" 67%"</f>
        <v> 67%</v>
      </c>
    </row>
    <row r="51" spans="4:26" ht="12.75" hidden="1">
      <c r="D51" s="265" t="str">
        <f>"+106%"</f>
        <v>+106%</v>
      </c>
      <c r="E51" s="241" t="str">
        <f>"+ 66%"</f>
        <v>+ 66%</v>
      </c>
      <c r="H51" s="241" t="str">
        <f>"( 66%)"</f>
        <v>( 66%)</v>
      </c>
      <c r="I51" s="241" t="str">
        <f>"+ 86"</f>
        <v>+ 86</v>
      </c>
      <c r="K51" s="240">
        <v>6</v>
      </c>
      <c r="L51" s="264" t="str">
        <f>"  6%"</f>
        <v>  6%</v>
      </c>
      <c r="V51" s="241" t="str">
        <f>"+ 86%"</f>
        <v>+ 86%</v>
      </c>
      <c r="W51" s="241" t="str">
        <f>"+ 66%"</f>
        <v>+ 66%</v>
      </c>
      <c r="Y51" s="243" t="str">
        <f>" 82.0%"</f>
        <v> 82.0%</v>
      </c>
      <c r="Z51" s="241" t="str">
        <f>" 66%"</f>
        <v> 66%</v>
      </c>
    </row>
    <row r="52" spans="4:26" ht="12.75" hidden="1">
      <c r="D52" s="265" t="str">
        <f>"+105%"</f>
        <v>+105%</v>
      </c>
      <c r="E52" s="241" t="str">
        <f>"+ 65%"</f>
        <v>+ 65%</v>
      </c>
      <c r="H52" s="241" t="str">
        <f>"( 65%)"</f>
        <v>( 65%)</v>
      </c>
      <c r="I52" s="241" t="str">
        <f>"+ 85"</f>
        <v>+ 85</v>
      </c>
      <c r="K52" s="240">
        <v>5</v>
      </c>
      <c r="L52" s="264" t="str">
        <f>"  5%"</f>
        <v>  5%</v>
      </c>
      <c r="V52" s="241" t="str">
        <f>"+ 85%"</f>
        <v>+ 85%</v>
      </c>
      <c r="W52" s="241" t="str">
        <f>"+ 65%"</f>
        <v>+ 65%</v>
      </c>
      <c r="Y52" s="243" t="str">
        <f>" 81.5%"</f>
        <v> 81.5%</v>
      </c>
      <c r="Z52" s="241" t="str">
        <f>" 65%"</f>
        <v> 65%</v>
      </c>
    </row>
    <row r="53" spans="4:26" ht="12.75" hidden="1">
      <c r="D53" s="265" t="str">
        <f>"+104%"</f>
        <v>+104%</v>
      </c>
      <c r="E53" s="241" t="str">
        <f>"+ 64%"</f>
        <v>+ 64%</v>
      </c>
      <c r="H53" s="241" t="str">
        <f>"( 64%)"</f>
        <v>( 64%)</v>
      </c>
      <c r="I53" s="241" t="str">
        <f>"+ 84"</f>
        <v>+ 84</v>
      </c>
      <c r="K53" s="240">
        <v>4</v>
      </c>
      <c r="L53" s="264" t="str">
        <f>"  4%"</f>
        <v>  4%</v>
      </c>
      <c r="V53" s="241" t="str">
        <f>"+ 84%"</f>
        <v>+ 84%</v>
      </c>
      <c r="W53" s="241" t="str">
        <f>"+ 64%"</f>
        <v>+ 64%</v>
      </c>
      <c r="Y53" s="243" t="str">
        <f>" 81.0%"</f>
        <v> 81.0%</v>
      </c>
      <c r="Z53" s="241" t="str">
        <f>" 64%"</f>
        <v> 64%</v>
      </c>
    </row>
    <row r="54" spans="4:26" ht="12.75" hidden="1">
      <c r="D54" s="265" t="str">
        <f>"+103%"</f>
        <v>+103%</v>
      </c>
      <c r="E54" s="241" t="str">
        <f>"+ 63%"</f>
        <v>+ 63%</v>
      </c>
      <c r="H54" s="241" t="str">
        <f>"( 63%)"</f>
        <v>( 63%)</v>
      </c>
      <c r="I54" s="241" t="str">
        <f>"+ 83"</f>
        <v>+ 83</v>
      </c>
      <c r="K54" s="240">
        <v>3</v>
      </c>
      <c r="L54" s="264" t="str">
        <f>"  3%"</f>
        <v>  3%</v>
      </c>
      <c r="V54" s="241" t="str">
        <f>"+ 83%"</f>
        <v>+ 83%</v>
      </c>
      <c r="W54" s="241" t="str">
        <f>"+ 63%"</f>
        <v>+ 63%</v>
      </c>
      <c r="Y54" s="243" t="str">
        <f>" 80.5%"</f>
        <v> 80.5%</v>
      </c>
      <c r="Z54" s="241" t="str">
        <f>" 63%"</f>
        <v> 63%</v>
      </c>
    </row>
    <row r="55" spans="4:26" ht="12.75" hidden="1">
      <c r="D55" s="265" t="str">
        <f>"+102%"</f>
        <v>+102%</v>
      </c>
      <c r="E55" s="241" t="str">
        <f>"+ 62%"</f>
        <v>+ 62%</v>
      </c>
      <c r="H55" s="241" t="str">
        <f>"( 62%)"</f>
        <v>( 62%)</v>
      </c>
      <c r="I55" s="241" t="str">
        <f>"+ 82"</f>
        <v>+ 82</v>
      </c>
      <c r="K55" s="240">
        <v>2</v>
      </c>
      <c r="L55" s="264" t="str">
        <f>"  2%"</f>
        <v>  2%</v>
      </c>
      <c r="V55" s="241" t="str">
        <f>"+ 82%"</f>
        <v>+ 82%</v>
      </c>
      <c r="W55" s="241" t="str">
        <f>"+ 62%"</f>
        <v>+ 62%</v>
      </c>
      <c r="Y55" s="243" t="str">
        <f>" 80.0%"</f>
        <v> 80.0%</v>
      </c>
      <c r="Z55" s="241" t="str">
        <f>" 62%"</f>
        <v> 62%</v>
      </c>
    </row>
    <row r="56" spans="4:26" ht="12.75" hidden="1">
      <c r="D56" s="265" t="str">
        <f>"+101%"</f>
        <v>+101%</v>
      </c>
      <c r="E56" s="241" t="str">
        <f>"+ 61%"</f>
        <v>+ 61%</v>
      </c>
      <c r="H56" s="241" t="str">
        <f>"( 61%)"</f>
        <v>( 61%)</v>
      </c>
      <c r="I56" s="241" t="str">
        <f>"+ 81"</f>
        <v>+ 81</v>
      </c>
      <c r="K56" s="240">
        <v>1</v>
      </c>
      <c r="L56" s="264" t="str">
        <f>"  1%"</f>
        <v>  1%</v>
      </c>
      <c r="V56" s="241" t="str">
        <f>"+ 81%"</f>
        <v>+ 81%</v>
      </c>
      <c r="W56" s="241" t="str">
        <f>"+ 61%"</f>
        <v>+ 61%</v>
      </c>
      <c r="Y56" s="243" t="str">
        <f>" 79.5%"</f>
        <v> 79.5%</v>
      </c>
      <c r="Z56" s="241" t="str">
        <f>" 61%"</f>
        <v> 61%</v>
      </c>
    </row>
    <row r="57" spans="4:26" ht="12.75" hidden="1">
      <c r="D57" s="265" t="str">
        <f>"+100%"</f>
        <v>+100%</v>
      </c>
      <c r="E57" s="241" t="str">
        <f>"+ 60%"</f>
        <v>+ 60%</v>
      </c>
      <c r="H57" s="241" t="str">
        <f>"( 60%)"</f>
        <v>( 60%)</v>
      </c>
      <c r="I57" s="241" t="str">
        <f>"+ 80"</f>
        <v>+ 80</v>
      </c>
      <c r="L57" s="241" t="str">
        <f>"  0%"</f>
        <v>  0%</v>
      </c>
      <c r="V57" s="241" t="str">
        <f>"+ 80%"</f>
        <v>+ 80%</v>
      </c>
      <c r="W57" s="241" t="str">
        <f>"+ 60%"</f>
        <v>+ 60%</v>
      </c>
      <c r="Y57" s="243" t="str">
        <f>" 79.0%"</f>
        <v> 79.0%</v>
      </c>
      <c r="Z57" s="241" t="str">
        <f>" 60%"</f>
        <v> 60%</v>
      </c>
    </row>
    <row r="58" spans="4:26" ht="12.75" hidden="1">
      <c r="D58" s="241" t="str">
        <f>"+ 99%"</f>
        <v>+ 99%</v>
      </c>
      <c r="E58" s="241" t="str">
        <f>"+ 59%"</f>
        <v>+ 59%</v>
      </c>
      <c r="H58" s="241" t="str">
        <f>"( 59%)"</f>
        <v>( 59%)</v>
      </c>
      <c r="I58" s="241" t="str">
        <f>"+ 79"</f>
        <v>+ 79</v>
      </c>
      <c r="V58" s="241" t="str">
        <f>"+ 79%"</f>
        <v>+ 79%</v>
      </c>
      <c r="W58" s="241" t="str">
        <f>"+ 59%"</f>
        <v>+ 59%</v>
      </c>
      <c r="Y58" s="243" t="str">
        <f>" 78.5%"</f>
        <v> 78.5%</v>
      </c>
      <c r="Z58" s="241" t="str">
        <f>" 59%"</f>
        <v> 59%</v>
      </c>
    </row>
    <row r="59" spans="4:26" ht="12.75" hidden="1">
      <c r="D59" s="241" t="str">
        <f>"+ 98%"</f>
        <v>+ 98%</v>
      </c>
      <c r="E59" s="241" t="str">
        <f>"+ 58%"</f>
        <v>+ 58%</v>
      </c>
      <c r="H59" s="241" t="str">
        <f>"( 58%)"</f>
        <v>( 58%)</v>
      </c>
      <c r="I59" s="241" t="str">
        <f>"+ 78"</f>
        <v>+ 78</v>
      </c>
      <c r="V59" s="241" t="str">
        <f>"+ 78%"</f>
        <v>+ 78%</v>
      </c>
      <c r="W59" s="241" t="str">
        <f>"+ 58%"</f>
        <v>+ 58%</v>
      </c>
      <c r="Y59" s="243" t="str">
        <f>" 78.0%"</f>
        <v> 78.0%</v>
      </c>
      <c r="Z59" s="241" t="str">
        <f>" 58%"</f>
        <v> 58%</v>
      </c>
    </row>
    <row r="60" spans="4:26" ht="12.75" hidden="1">
      <c r="D60" s="241" t="str">
        <f>"+ 97%"</f>
        <v>+ 97%</v>
      </c>
      <c r="E60" s="241" t="str">
        <f>"+ 57%"</f>
        <v>+ 57%</v>
      </c>
      <c r="H60" s="241" t="str">
        <f>"( 57%)"</f>
        <v>( 57%)</v>
      </c>
      <c r="I60" s="241" t="str">
        <f>"+ 77"</f>
        <v>+ 77</v>
      </c>
      <c r="V60" s="241" t="str">
        <f>"+ 77%"</f>
        <v>+ 77%</v>
      </c>
      <c r="W60" s="241" t="str">
        <f>"+ 57%"</f>
        <v>+ 57%</v>
      </c>
      <c r="Y60" s="243" t="str">
        <f>" 77.5%"</f>
        <v> 77.5%</v>
      </c>
      <c r="Z60" s="241" t="str">
        <f>" 57%"</f>
        <v> 57%</v>
      </c>
    </row>
    <row r="61" spans="4:26" ht="12.75" hidden="1">
      <c r="D61" s="241" t="str">
        <f>"+ 96%"</f>
        <v>+ 96%</v>
      </c>
      <c r="E61" s="241" t="str">
        <f>"+ 56%"</f>
        <v>+ 56%</v>
      </c>
      <c r="H61" s="241" t="str">
        <f>"( 56%)"</f>
        <v>( 56%)</v>
      </c>
      <c r="I61" s="241" t="str">
        <f>"+ 76"</f>
        <v>+ 76</v>
      </c>
      <c r="V61" s="241" t="str">
        <f>"+ 76%"</f>
        <v>+ 76%</v>
      </c>
      <c r="W61" s="241" t="str">
        <f>"+ 56%"</f>
        <v>+ 56%</v>
      </c>
      <c r="Y61" s="243" t="str">
        <f>" 77.0%"</f>
        <v> 77.0%</v>
      </c>
      <c r="Z61" s="241" t="str">
        <f>" 56%"</f>
        <v> 56%</v>
      </c>
    </row>
    <row r="62" spans="4:26" ht="12.75" hidden="1">
      <c r="D62" s="241" t="str">
        <f>"+ 95%"</f>
        <v>+ 95%</v>
      </c>
      <c r="E62" s="241" t="str">
        <f>"+ 55%"</f>
        <v>+ 55%</v>
      </c>
      <c r="H62" s="241" t="str">
        <f>"( 55%)"</f>
        <v>( 55%)</v>
      </c>
      <c r="I62" s="241" t="str">
        <f>"+ 75"</f>
        <v>+ 75</v>
      </c>
      <c r="V62" s="241" t="str">
        <f>"+ 75%"</f>
        <v>+ 75%</v>
      </c>
      <c r="W62" s="241" t="str">
        <f>"+ 55%"</f>
        <v>+ 55%</v>
      </c>
      <c r="Y62" s="243" t="str">
        <f>" 76.0%"</f>
        <v> 76.0%</v>
      </c>
      <c r="Z62" s="241" t="str">
        <f>" 55%"</f>
        <v> 55%</v>
      </c>
    </row>
    <row r="63" spans="4:26" ht="12.75" hidden="1">
      <c r="D63" s="241" t="str">
        <f>"+ 94%"</f>
        <v>+ 94%</v>
      </c>
      <c r="E63" s="241" t="str">
        <f>"+ 54%"</f>
        <v>+ 54%</v>
      </c>
      <c r="H63" s="241" t="str">
        <f>"( 54%)"</f>
        <v>( 54%)</v>
      </c>
      <c r="I63" s="241" t="str">
        <f>"+ 74"</f>
        <v>+ 74</v>
      </c>
      <c r="V63" s="241" t="str">
        <f>"+ 74%"</f>
        <v>+ 74%</v>
      </c>
      <c r="W63" s="241" t="str">
        <f>"+ 54%"</f>
        <v>+ 54%</v>
      </c>
      <c r="Y63" s="243" t="str">
        <f>" 75.5%"</f>
        <v> 75.5%</v>
      </c>
      <c r="Z63" s="241" t="str">
        <f>" 54%"</f>
        <v> 54%</v>
      </c>
    </row>
    <row r="64" spans="4:26" ht="12.75" hidden="1">
      <c r="D64" s="241" t="str">
        <f>"+ 93%"</f>
        <v>+ 93%</v>
      </c>
      <c r="E64" s="241" t="str">
        <f>"+ 53%"</f>
        <v>+ 53%</v>
      </c>
      <c r="H64" s="241" t="str">
        <f>"( 53%)"</f>
        <v>( 53%)</v>
      </c>
      <c r="I64" s="241" t="str">
        <f>"+ 73"</f>
        <v>+ 73</v>
      </c>
      <c r="V64" s="241" t="str">
        <f>"+ 73%"</f>
        <v>+ 73%</v>
      </c>
      <c r="W64" s="241" t="str">
        <f>"+ 53%"</f>
        <v>+ 53%</v>
      </c>
      <c r="Y64" s="243" t="str">
        <f>" 75.0%"</f>
        <v> 75.0%</v>
      </c>
      <c r="Z64" s="241" t="str">
        <f>" 53%"</f>
        <v> 53%</v>
      </c>
    </row>
    <row r="65" spans="4:26" ht="12.75" hidden="1">
      <c r="D65" s="241" t="str">
        <f>"+ 92%"</f>
        <v>+ 92%</v>
      </c>
      <c r="E65" s="241" t="str">
        <f>"+ 52%"</f>
        <v>+ 52%</v>
      </c>
      <c r="H65" s="241" t="str">
        <f>"( 52%)"</f>
        <v>( 52%)</v>
      </c>
      <c r="I65" s="241" t="str">
        <f>"+ 72"</f>
        <v>+ 72</v>
      </c>
      <c r="V65" s="241" t="str">
        <f>"+ 72%"</f>
        <v>+ 72%</v>
      </c>
      <c r="W65" s="241" t="str">
        <f>"+ 52%"</f>
        <v>+ 52%</v>
      </c>
      <c r="Y65" s="243" t="str">
        <f>" 74.5%"</f>
        <v> 74.5%</v>
      </c>
      <c r="Z65" s="241" t="str">
        <f>" 52%"</f>
        <v> 52%</v>
      </c>
    </row>
    <row r="66" spans="4:26" ht="12.75" hidden="1">
      <c r="D66" s="241" t="str">
        <f>"+ 91%"</f>
        <v>+ 91%</v>
      </c>
      <c r="E66" s="241" t="str">
        <f>"+ 51%"</f>
        <v>+ 51%</v>
      </c>
      <c r="H66" s="241" t="str">
        <f>"( 51%)"</f>
        <v>( 51%)</v>
      </c>
      <c r="I66" s="241" t="str">
        <f>"+ 71"</f>
        <v>+ 71</v>
      </c>
      <c r="V66" s="241" t="str">
        <f>"+ 71%"</f>
        <v>+ 71%</v>
      </c>
      <c r="W66" s="241" t="str">
        <f>"+ 51%"</f>
        <v>+ 51%</v>
      </c>
      <c r="Y66" s="243" t="str">
        <f>" 74.0%"</f>
        <v> 74.0%</v>
      </c>
      <c r="Z66" s="241" t="str">
        <f>" 51%"</f>
        <v> 51%</v>
      </c>
    </row>
    <row r="67" spans="4:26" ht="12.75" hidden="1">
      <c r="D67" s="241" t="str">
        <f>"+ 90%"</f>
        <v>+ 90%</v>
      </c>
      <c r="E67" s="241" t="str">
        <f>"+ 50%"</f>
        <v>+ 50%</v>
      </c>
      <c r="H67" s="241" t="str">
        <f>"( 50%)"</f>
        <v>( 50%)</v>
      </c>
      <c r="I67" s="241" t="str">
        <f>"+ 70"</f>
        <v>+ 70</v>
      </c>
      <c r="V67" s="241" t="str">
        <f>"+ 70%"</f>
        <v>+ 70%</v>
      </c>
      <c r="W67" s="241" t="str">
        <f>"+ 50%"</f>
        <v>+ 50%</v>
      </c>
      <c r="Y67" s="243" t="str">
        <f>" 73.5%"</f>
        <v> 73.5%</v>
      </c>
      <c r="Z67" s="241" t="str">
        <f>" 50%"</f>
        <v> 50%</v>
      </c>
    </row>
    <row r="68" spans="4:26" ht="12.75" hidden="1">
      <c r="D68" s="241" t="str">
        <f>"+ 89%"</f>
        <v>+ 89%</v>
      </c>
      <c r="E68" s="241" t="str">
        <f>"+ 49%"</f>
        <v>+ 49%</v>
      </c>
      <c r="H68" s="241" t="str">
        <f>"( 49%)"</f>
        <v>( 49%)</v>
      </c>
      <c r="I68" s="241" t="str">
        <f>"+ 69"</f>
        <v>+ 69</v>
      </c>
      <c r="V68" s="241" t="str">
        <f>"+ 69%"</f>
        <v>+ 69%</v>
      </c>
      <c r="W68" s="241" t="str">
        <f>"+ 49%"</f>
        <v>+ 49%</v>
      </c>
      <c r="Y68" s="243" t="str">
        <f>" 73.0%"</f>
        <v> 73.0%</v>
      </c>
      <c r="Z68" s="241" t="str">
        <f>" 49%"</f>
        <v> 49%</v>
      </c>
    </row>
    <row r="69" spans="4:26" ht="12.75" hidden="1">
      <c r="D69" s="241" t="str">
        <f>"+ 88%"</f>
        <v>+ 88%</v>
      </c>
      <c r="E69" s="241" t="str">
        <f>"+ 48%"</f>
        <v>+ 48%</v>
      </c>
      <c r="H69" s="241" t="str">
        <f>"( 48%)"</f>
        <v>( 48%)</v>
      </c>
      <c r="I69" s="241" t="str">
        <f>"+ 68"</f>
        <v>+ 68</v>
      </c>
      <c r="V69" s="241" t="str">
        <f>"+ 68%"</f>
        <v>+ 68%</v>
      </c>
      <c r="W69" s="241" t="str">
        <f>"+ 48%"</f>
        <v>+ 48%</v>
      </c>
      <c r="Y69" s="243" t="str">
        <f>" 72.5%"</f>
        <v> 72.5%</v>
      </c>
      <c r="Z69" s="241" t="str">
        <f>" 48%"</f>
        <v> 48%</v>
      </c>
    </row>
    <row r="70" spans="4:26" ht="12.75" hidden="1">
      <c r="D70" s="241" t="str">
        <f>"+ 87%"</f>
        <v>+ 87%</v>
      </c>
      <c r="E70" s="241" t="str">
        <f>"+ 47%"</f>
        <v>+ 47%</v>
      </c>
      <c r="H70" s="241" t="str">
        <f>"( 47%)"</f>
        <v>( 47%)</v>
      </c>
      <c r="I70" s="241" t="str">
        <f>"+ 67"</f>
        <v>+ 67</v>
      </c>
      <c r="V70" s="241" t="str">
        <f>"+ 67%"</f>
        <v>+ 67%</v>
      </c>
      <c r="W70" s="241" t="str">
        <f>"+ 47%"</f>
        <v>+ 47%</v>
      </c>
      <c r="Y70" s="243" t="str">
        <f>" 72.0%"</f>
        <v> 72.0%</v>
      </c>
      <c r="Z70" s="241" t="str">
        <f>" 47%"</f>
        <v> 47%</v>
      </c>
    </row>
    <row r="71" spans="4:26" ht="12.75" hidden="1">
      <c r="D71" s="241" t="str">
        <f>"+ 86%"</f>
        <v>+ 86%</v>
      </c>
      <c r="E71" s="241" t="str">
        <f>"+ 46%"</f>
        <v>+ 46%</v>
      </c>
      <c r="H71" s="241" t="str">
        <f>"( 46%)"</f>
        <v>( 46%)</v>
      </c>
      <c r="I71" s="241" t="str">
        <f>"+ 66"</f>
        <v>+ 66</v>
      </c>
      <c r="V71" s="241" t="str">
        <f>"+ 66%"</f>
        <v>+ 66%</v>
      </c>
      <c r="W71" s="241" t="str">
        <f>"+ 46%"</f>
        <v>+ 46%</v>
      </c>
      <c r="Y71" s="243" t="str">
        <f>" 71.5%"</f>
        <v> 71.5%</v>
      </c>
      <c r="Z71" s="241" t="str">
        <f>" 46%"</f>
        <v> 46%</v>
      </c>
    </row>
    <row r="72" spans="4:26" ht="12.75" hidden="1">
      <c r="D72" s="241" t="str">
        <f>"+ 85%"</f>
        <v>+ 85%</v>
      </c>
      <c r="E72" s="241" t="str">
        <f>"+ 45%"</f>
        <v>+ 45%</v>
      </c>
      <c r="H72" s="241" t="str">
        <f>"( 45%)"</f>
        <v>( 45%)</v>
      </c>
      <c r="I72" s="241" t="str">
        <f>"+ 65"</f>
        <v>+ 65</v>
      </c>
      <c r="V72" s="241" t="str">
        <f>"+ 65%"</f>
        <v>+ 65%</v>
      </c>
      <c r="W72" s="241" t="str">
        <f>"+ 45%"</f>
        <v>+ 45%</v>
      </c>
      <c r="Y72" s="243" t="str">
        <f>" 71.0%"</f>
        <v> 71.0%</v>
      </c>
      <c r="Z72" s="241" t="str">
        <f>" 45%"</f>
        <v> 45%</v>
      </c>
    </row>
    <row r="73" spans="4:26" ht="12.75" hidden="1">
      <c r="D73" s="241" t="str">
        <f>"+ 84%"</f>
        <v>+ 84%</v>
      </c>
      <c r="E73" s="241" t="str">
        <f>"+ 44%"</f>
        <v>+ 44%</v>
      </c>
      <c r="H73" s="241" t="str">
        <f>"( 44%)"</f>
        <v>( 44%)</v>
      </c>
      <c r="I73" s="241" t="str">
        <f>"+ 64"</f>
        <v>+ 64</v>
      </c>
      <c r="V73" s="241" t="str">
        <f>"+ 64%"</f>
        <v>+ 64%</v>
      </c>
      <c r="W73" s="241" t="str">
        <f>"+ 44%"</f>
        <v>+ 44%</v>
      </c>
      <c r="Y73" s="243" t="str">
        <f>" 70.5%"</f>
        <v> 70.5%</v>
      </c>
      <c r="Z73" s="241" t="str">
        <f>" 44%"</f>
        <v> 44%</v>
      </c>
    </row>
    <row r="74" spans="4:26" ht="12.75" hidden="1">
      <c r="D74" s="241" t="str">
        <f>"+ 83%"</f>
        <v>+ 83%</v>
      </c>
      <c r="E74" s="241" t="str">
        <f>"+ 43%"</f>
        <v>+ 43%</v>
      </c>
      <c r="H74" s="241" t="str">
        <f>"( 43%)"</f>
        <v>( 43%)</v>
      </c>
      <c r="I74" s="241" t="str">
        <f>"+ 63"</f>
        <v>+ 63</v>
      </c>
      <c r="V74" s="241" t="str">
        <f>"+ 63%"</f>
        <v>+ 63%</v>
      </c>
      <c r="W74" s="241" t="str">
        <f>"+ 43%"</f>
        <v>+ 43%</v>
      </c>
      <c r="Y74" s="243" t="str">
        <f>" 70.0%"</f>
        <v> 70.0%</v>
      </c>
      <c r="Z74" s="241" t="str">
        <f>" 43%"</f>
        <v> 43%</v>
      </c>
    </row>
    <row r="75" spans="4:26" ht="12.75" hidden="1">
      <c r="D75" s="241" t="str">
        <f>"+ 82%"</f>
        <v>+ 82%</v>
      </c>
      <c r="E75" s="241" t="str">
        <f>"+ 42%"</f>
        <v>+ 42%</v>
      </c>
      <c r="H75" s="241" t="str">
        <f>"( 42%)"</f>
        <v>( 42%)</v>
      </c>
      <c r="I75" s="241" t="str">
        <f>"+ 62"</f>
        <v>+ 62</v>
      </c>
      <c r="V75" s="241" t="str">
        <f>"+ 62%"</f>
        <v>+ 62%</v>
      </c>
      <c r="W75" s="241" t="str">
        <f>"+ 42%"</f>
        <v>+ 42%</v>
      </c>
      <c r="Y75" s="243" t="str">
        <f>" 69.5%"</f>
        <v> 69.5%</v>
      </c>
      <c r="Z75" s="241" t="str">
        <f>" 42%"</f>
        <v> 42%</v>
      </c>
    </row>
    <row r="76" spans="4:26" ht="12.75" hidden="1">
      <c r="D76" s="241" t="str">
        <f>"+ 81%"</f>
        <v>+ 81%</v>
      </c>
      <c r="E76" s="241" t="str">
        <f>"+ 41%"</f>
        <v>+ 41%</v>
      </c>
      <c r="H76" s="241" t="str">
        <f>"( 41%)"</f>
        <v>( 41%)</v>
      </c>
      <c r="I76" s="241" t="str">
        <f>"+ 61"</f>
        <v>+ 61</v>
      </c>
      <c r="V76" s="241" t="str">
        <f>"+ 61%"</f>
        <v>+ 61%</v>
      </c>
      <c r="W76" s="241" t="str">
        <f>"+ 41%"</f>
        <v>+ 41%</v>
      </c>
      <c r="Y76" s="243" t="str">
        <f>" 69.0%"</f>
        <v> 69.0%</v>
      </c>
      <c r="Z76" s="241" t="str">
        <f>" 41%"</f>
        <v> 41%</v>
      </c>
    </row>
    <row r="77" spans="4:26" ht="12.75" hidden="1">
      <c r="D77" s="241" t="str">
        <f>"+ 80%"</f>
        <v>+ 80%</v>
      </c>
      <c r="E77" s="241" t="str">
        <f>"+ 40%"</f>
        <v>+ 40%</v>
      </c>
      <c r="H77" s="241" t="str">
        <f>"( 40%)"</f>
        <v>( 40%)</v>
      </c>
      <c r="I77" s="241" t="str">
        <f>"+ 60"</f>
        <v>+ 60</v>
      </c>
      <c r="V77" s="241" t="str">
        <f>"+ 60%"</f>
        <v>+ 60%</v>
      </c>
      <c r="W77" s="241" t="str">
        <f>"+ 40%"</f>
        <v>+ 40%</v>
      </c>
      <c r="Y77" s="243" t="str">
        <f>" 68.5%"</f>
        <v> 68.5%</v>
      </c>
      <c r="Z77" s="241" t="str">
        <f>" 40%"</f>
        <v> 40%</v>
      </c>
    </row>
    <row r="78" spans="4:26" ht="12.75" hidden="1">
      <c r="D78" s="241" t="str">
        <f>"+ 79%"</f>
        <v>+ 79%</v>
      </c>
      <c r="E78" s="241" t="str">
        <f>"+ 39%"</f>
        <v>+ 39%</v>
      </c>
      <c r="H78" s="241" t="str">
        <f>"( 39%)"</f>
        <v>( 39%)</v>
      </c>
      <c r="I78" s="241" t="str">
        <f>"+ 59"</f>
        <v>+ 59</v>
      </c>
      <c r="V78" s="241" t="str">
        <f>"+ 59%"</f>
        <v>+ 59%</v>
      </c>
      <c r="W78" s="241" t="str">
        <f>"+ 39%"</f>
        <v>+ 39%</v>
      </c>
      <c r="Y78" s="243" t="str">
        <f>" 68.0%"</f>
        <v> 68.0%</v>
      </c>
      <c r="Z78" s="241" t="str">
        <f>" 39%"</f>
        <v> 39%</v>
      </c>
    </row>
    <row r="79" spans="4:26" ht="12.75" hidden="1">
      <c r="D79" s="241" t="str">
        <f>"+ 78%"</f>
        <v>+ 78%</v>
      </c>
      <c r="E79" s="241" t="str">
        <f>"+ 38%"</f>
        <v>+ 38%</v>
      </c>
      <c r="H79" s="241" t="str">
        <f>"( 38%)"</f>
        <v>( 38%)</v>
      </c>
      <c r="I79" s="241" t="str">
        <f>"+ 58"</f>
        <v>+ 58</v>
      </c>
      <c r="V79" s="241" t="str">
        <f>"+ 58%"</f>
        <v>+ 58%</v>
      </c>
      <c r="W79" s="241" t="str">
        <f>"+ 38%"</f>
        <v>+ 38%</v>
      </c>
      <c r="Y79" s="243" t="str">
        <f>" 67.5%"</f>
        <v> 67.5%</v>
      </c>
      <c r="Z79" s="241" t="str">
        <f>" 38%"</f>
        <v> 38%</v>
      </c>
    </row>
    <row r="80" spans="4:26" ht="12.75" hidden="1">
      <c r="D80" s="241" t="str">
        <f>"+ 77%"</f>
        <v>+ 77%</v>
      </c>
      <c r="E80" s="241" t="str">
        <f>"+ 37%"</f>
        <v>+ 37%</v>
      </c>
      <c r="H80" s="241" t="str">
        <f>"( 37%)"</f>
        <v>( 37%)</v>
      </c>
      <c r="I80" s="241" t="str">
        <f>"+ 57"</f>
        <v>+ 57</v>
      </c>
      <c r="V80" s="241" t="str">
        <f>"+ 57%"</f>
        <v>+ 57%</v>
      </c>
      <c r="W80" s="241" t="str">
        <f>"+ 37%"</f>
        <v>+ 37%</v>
      </c>
      <c r="Y80" s="243" t="str">
        <f>" 67.0%"</f>
        <v> 67.0%</v>
      </c>
      <c r="Z80" s="241" t="str">
        <f>" 37%"</f>
        <v> 37%</v>
      </c>
    </row>
    <row r="81" spans="4:26" ht="12.75" hidden="1">
      <c r="D81" s="241" t="str">
        <f>"+ 76%"</f>
        <v>+ 76%</v>
      </c>
      <c r="E81" s="241" t="str">
        <f>"+ 36%"</f>
        <v>+ 36%</v>
      </c>
      <c r="H81" s="241" t="str">
        <f>"( 36%)"</f>
        <v>( 36%)</v>
      </c>
      <c r="I81" s="241" t="str">
        <f>"+ 56"</f>
        <v>+ 56</v>
      </c>
      <c r="V81" s="241" t="str">
        <f>"+ 56%"</f>
        <v>+ 56%</v>
      </c>
      <c r="W81" s="241" t="str">
        <f>"+ 36%"</f>
        <v>+ 36%</v>
      </c>
      <c r="Y81" s="243" t="str">
        <f>" 66.0%"</f>
        <v> 66.0%</v>
      </c>
      <c r="Z81" s="241" t="str">
        <f>" 36%"</f>
        <v> 36%</v>
      </c>
    </row>
    <row r="82" spans="4:26" ht="12.75" hidden="1">
      <c r="D82" s="241" t="str">
        <f>"+ 75%"</f>
        <v>+ 75%</v>
      </c>
      <c r="E82" s="241" t="str">
        <f>"+ 35%"</f>
        <v>+ 35%</v>
      </c>
      <c r="H82" s="241" t="str">
        <f>"( 35%)"</f>
        <v>( 35%)</v>
      </c>
      <c r="I82" s="241" t="str">
        <f>"+ 55"</f>
        <v>+ 55</v>
      </c>
      <c r="V82" s="241" t="str">
        <f>"+ 55%"</f>
        <v>+ 55%</v>
      </c>
      <c r="W82" s="241" t="str">
        <f>"+ 35%"</f>
        <v>+ 35%</v>
      </c>
      <c r="Y82" s="243" t="str">
        <f>" 65.5%"</f>
        <v> 65.5%</v>
      </c>
      <c r="Z82" s="241" t="str">
        <f>" 35%"</f>
        <v> 35%</v>
      </c>
    </row>
    <row r="83" spans="4:26" ht="12.75" hidden="1">
      <c r="D83" s="241" t="str">
        <f>"+ 74%"</f>
        <v>+ 74%</v>
      </c>
      <c r="E83" s="241" t="str">
        <f>"+ 34%"</f>
        <v>+ 34%</v>
      </c>
      <c r="H83" s="241" t="str">
        <f>"( 34%)"</f>
        <v>( 34%)</v>
      </c>
      <c r="I83" s="241" t="str">
        <f>"+ 54"</f>
        <v>+ 54</v>
      </c>
      <c r="V83" s="241" t="str">
        <f>"+ 54%"</f>
        <v>+ 54%</v>
      </c>
      <c r="W83" s="241" t="str">
        <f>"+ 34%"</f>
        <v>+ 34%</v>
      </c>
      <c r="Y83" s="243" t="str">
        <f>" 65.0%"</f>
        <v> 65.0%</v>
      </c>
      <c r="Z83" s="241" t="str">
        <f>" 34%"</f>
        <v> 34%</v>
      </c>
    </row>
    <row r="84" spans="4:26" ht="12.75" hidden="1">
      <c r="D84" s="241" t="str">
        <f>"+ 73%"</f>
        <v>+ 73%</v>
      </c>
      <c r="E84" s="241" t="str">
        <f>"+ 33%"</f>
        <v>+ 33%</v>
      </c>
      <c r="H84" s="241" t="str">
        <f>"( 33%)"</f>
        <v>( 33%)</v>
      </c>
      <c r="I84" s="241" t="str">
        <f>"+ 53"</f>
        <v>+ 53</v>
      </c>
      <c r="V84" s="241" t="str">
        <f>"+ 53%"</f>
        <v>+ 53%</v>
      </c>
      <c r="W84" s="241" t="str">
        <f>"+ 33%"</f>
        <v>+ 33%</v>
      </c>
      <c r="Y84" s="243" t="str">
        <f>" 64.5%"</f>
        <v> 64.5%</v>
      </c>
      <c r="Z84" s="241" t="str">
        <f>" 33%"</f>
        <v> 33%</v>
      </c>
    </row>
    <row r="85" spans="4:26" ht="12.75" hidden="1">
      <c r="D85" s="241" t="str">
        <f>"+ 72%"</f>
        <v>+ 72%</v>
      </c>
      <c r="E85" s="241" t="str">
        <f>"+ 32%"</f>
        <v>+ 32%</v>
      </c>
      <c r="H85" s="241" t="str">
        <f>"( 32%)"</f>
        <v>( 32%)</v>
      </c>
      <c r="I85" s="241" t="str">
        <f>"+ 52"</f>
        <v>+ 52</v>
      </c>
      <c r="V85" s="241" t="str">
        <f>"+ 52%"</f>
        <v>+ 52%</v>
      </c>
      <c r="W85" s="241" t="str">
        <f>"+ 32%"</f>
        <v>+ 32%</v>
      </c>
      <c r="Y85" s="243" t="str">
        <f>" 64.0%"</f>
        <v> 64.0%</v>
      </c>
      <c r="Z85" s="241" t="str">
        <f>" 32%"</f>
        <v> 32%</v>
      </c>
    </row>
    <row r="86" spans="4:26" ht="12.75" hidden="1">
      <c r="D86" s="241" t="str">
        <f>"+ 71%"</f>
        <v>+ 71%</v>
      </c>
      <c r="E86" s="241" t="str">
        <f>"+ 31%"</f>
        <v>+ 31%</v>
      </c>
      <c r="H86" s="241" t="str">
        <f>"( 31%)"</f>
        <v>( 31%)</v>
      </c>
      <c r="I86" s="241" t="str">
        <f>"+ 51"</f>
        <v>+ 51</v>
      </c>
      <c r="V86" s="241" t="str">
        <f>"+ 51%"</f>
        <v>+ 51%</v>
      </c>
      <c r="W86" s="241" t="str">
        <f>"+ 31%"</f>
        <v>+ 31%</v>
      </c>
      <c r="Y86" s="243" t="str">
        <f>" 63.5%"</f>
        <v> 63.5%</v>
      </c>
      <c r="Z86" s="241" t="str">
        <f>" 31%"</f>
        <v> 31%</v>
      </c>
    </row>
    <row r="87" spans="4:26" ht="12.75" hidden="1">
      <c r="D87" s="241" t="str">
        <f>"+ 70%"</f>
        <v>+ 70%</v>
      </c>
      <c r="E87" s="241" t="str">
        <f>"+ 30%"</f>
        <v>+ 30%</v>
      </c>
      <c r="H87" s="241" t="str">
        <f>"( 30%)"</f>
        <v>( 30%)</v>
      </c>
      <c r="I87" s="241" t="str">
        <f>"+ 50"</f>
        <v>+ 50</v>
      </c>
      <c r="V87" s="241" t="str">
        <f>"+ 50%"</f>
        <v>+ 50%</v>
      </c>
      <c r="W87" s="241" t="str">
        <f>"+ 30%"</f>
        <v>+ 30%</v>
      </c>
      <c r="Y87" s="243" t="str">
        <f>" 63.0%"</f>
        <v> 63.0%</v>
      </c>
      <c r="Z87" s="241" t="str">
        <f>" 30%"</f>
        <v> 30%</v>
      </c>
    </row>
    <row r="88" spans="4:26" ht="12.75" hidden="1">
      <c r="D88" s="241" t="str">
        <f>"+ 69%"</f>
        <v>+ 69%</v>
      </c>
      <c r="E88" s="241" t="str">
        <f>"+ 29%"</f>
        <v>+ 29%</v>
      </c>
      <c r="H88" s="241" t="str">
        <f>"( 29%)"</f>
        <v>( 29%)</v>
      </c>
      <c r="I88" s="241" t="str">
        <f>"+ 49"</f>
        <v>+ 49</v>
      </c>
      <c r="V88" s="241" t="str">
        <f>"+ 49%"</f>
        <v>+ 49%</v>
      </c>
      <c r="W88" s="241" t="str">
        <f>"+ 29%"</f>
        <v>+ 29%</v>
      </c>
      <c r="Y88" s="243" t="str">
        <f>" 62.5%"</f>
        <v> 62.5%</v>
      </c>
      <c r="Z88" s="241" t="str">
        <f>" 29%"</f>
        <v> 29%</v>
      </c>
    </row>
    <row r="89" spans="4:26" ht="12.75" hidden="1">
      <c r="D89" s="241" t="str">
        <f>"+ 68%"</f>
        <v>+ 68%</v>
      </c>
      <c r="E89" s="241" t="str">
        <f>"+ 28%"</f>
        <v>+ 28%</v>
      </c>
      <c r="H89" s="241" t="str">
        <f>"( 28%)"</f>
        <v>( 28%)</v>
      </c>
      <c r="I89" s="241" t="str">
        <f>"+ 48"</f>
        <v>+ 48</v>
      </c>
      <c r="V89" s="241" t="str">
        <f>"+ 48%"</f>
        <v>+ 48%</v>
      </c>
      <c r="W89" s="241" t="str">
        <f>"+ 28%"</f>
        <v>+ 28%</v>
      </c>
      <c r="Y89" s="243" t="str">
        <f>" 62.0%"</f>
        <v> 62.0%</v>
      </c>
      <c r="Z89" s="241" t="str">
        <f>" 28%"</f>
        <v> 28%</v>
      </c>
    </row>
    <row r="90" spans="4:26" ht="12.75" hidden="1">
      <c r="D90" s="241" t="str">
        <f>"+ 67%"</f>
        <v>+ 67%</v>
      </c>
      <c r="E90" s="241" t="str">
        <f>"+ 27%"</f>
        <v>+ 27%</v>
      </c>
      <c r="H90" s="241" t="str">
        <f>"( 27%)"</f>
        <v>( 27%)</v>
      </c>
      <c r="I90" s="241" t="str">
        <f>"+ 47"</f>
        <v>+ 47</v>
      </c>
      <c r="V90" s="241" t="str">
        <f>"+ 47%"</f>
        <v>+ 47%</v>
      </c>
      <c r="W90" s="241" t="str">
        <f>"+ 27%"</f>
        <v>+ 27%</v>
      </c>
      <c r="Y90" s="243" t="str">
        <f>" 61.5%"</f>
        <v> 61.5%</v>
      </c>
      <c r="Z90" s="241" t="str">
        <f>" 27%"</f>
        <v> 27%</v>
      </c>
    </row>
    <row r="91" spans="4:26" ht="12.75" hidden="1">
      <c r="D91" s="241" t="str">
        <f>"+ 66%"</f>
        <v>+ 66%</v>
      </c>
      <c r="E91" s="241" t="str">
        <f>"+ 26%"</f>
        <v>+ 26%</v>
      </c>
      <c r="H91" s="241" t="str">
        <f>"( 26%)"</f>
        <v>( 26%)</v>
      </c>
      <c r="I91" s="241" t="str">
        <f>"+ 46"</f>
        <v>+ 46</v>
      </c>
      <c r="V91" s="241" t="str">
        <f>"+ 46%"</f>
        <v>+ 46%</v>
      </c>
      <c r="W91" s="241" t="str">
        <f>"+ 26%"</f>
        <v>+ 26%</v>
      </c>
      <c r="Y91" s="243" t="str">
        <f>" 61.0%"</f>
        <v> 61.0%</v>
      </c>
      <c r="Z91" s="241" t="str">
        <f>" 26%"</f>
        <v> 26%</v>
      </c>
    </row>
    <row r="92" spans="4:26" ht="12.75" hidden="1">
      <c r="D92" s="241" t="str">
        <f>"+ 65%"</f>
        <v>+ 65%</v>
      </c>
      <c r="E92" s="241" t="str">
        <f>"+ 25%"</f>
        <v>+ 25%</v>
      </c>
      <c r="H92" s="241" t="str">
        <f>"( 25%)"</f>
        <v>( 25%)</v>
      </c>
      <c r="I92" s="241" t="str">
        <f>"+ 45"</f>
        <v>+ 45</v>
      </c>
      <c r="V92" s="241" t="str">
        <f>"+ 45%"</f>
        <v>+ 45%</v>
      </c>
      <c r="W92" s="241" t="str">
        <f>"+ 25%"</f>
        <v>+ 25%</v>
      </c>
      <c r="Y92" s="243" t="str">
        <f>" 60.5%"</f>
        <v> 60.5%</v>
      </c>
      <c r="Z92" s="241" t="str">
        <f>" 25%"</f>
        <v> 25%</v>
      </c>
    </row>
    <row r="93" spans="4:26" ht="12.75" hidden="1">
      <c r="D93" s="241" t="str">
        <f>"+ 64%"</f>
        <v>+ 64%</v>
      </c>
      <c r="E93" s="241" t="str">
        <f>"+ 24%"</f>
        <v>+ 24%</v>
      </c>
      <c r="H93" s="241" t="str">
        <f>"( 24%)"</f>
        <v>( 24%)</v>
      </c>
      <c r="I93" s="241" t="str">
        <f>"+ 44"</f>
        <v>+ 44</v>
      </c>
      <c r="V93" s="241" t="str">
        <f>"+ 44%"</f>
        <v>+ 44%</v>
      </c>
      <c r="W93" s="241" t="str">
        <f>"+ 24%"</f>
        <v>+ 24%</v>
      </c>
      <c r="Y93" s="243" t="str">
        <f>" 60.0%"</f>
        <v> 60.0%</v>
      </c>
      <c r="Z93" s="241" t="str">
        <f>" 24%"</f>
        <v> 24%</v>
      </c>
    </row>
    <row r="94" spans="4:26" ht="12.75" hidden="1">
      <c r="D94" s="241" t="str">
        <f>"+ 63%"</f>
        <v>+ 63%</v>
      </c>
      <c r="E94" s="241" t="str">
        <f>"+ 23%"</f>
        <v>+ 23%</v>
      </c>
      <c r="H94" s="241" t="str">
        <f>"( 23%)"</f>
        <v>( 23%)</v>
      </c>
      <c r="I94" s="241" t="str">
        <f>"+ 43"</f>
        <v>+ 43</v>
      </c>
      <c r="V94" s="241" t="str">
        <f>"+ 43%"</f>
        <v>+ 43%</v>
      </c>
      <c r="W94" s="241" t="str">
        <f>"+ 23%"</f>
        <v>+ 23%</v>
      </c>
      <c r="Y94" s="243" t="str">
        <f>" 59.5%"</f>
        <v> 59.5%</v>
      </c>
      <c r="Z94" s="241" t="str">
        <f>" 23%"</f>
        <v> 23%</v>
      </c>
    </row>
    <row r="95" spans="4:26" ht="12.75" hidden="1">
      <c r="D95" s="241" t="str">
        <f>"+ 62%"</f>
        <v>+ 62%</v>
      </c>
      <c r="E95" s="241" t="str">
        <f>"+ 22%"</f>
        <v>+ 22%</v>
      </c>
      <c r="H95" s="241" t="str">
        <f>"( 22%)"</f>
        <v>( 22%)</v>
      </c>
      <c r="I95" s="241" t="str">
        <f>"+ 42"</f>
        <v>+ 42</v>
      </c>
      <c r="V95" s="241" t="str">
        <f>"+ 42%"</f>
        <v>+ 42%</v>
      </c>
      <c r="W95" s="241" t="str">
        <f>"+ 22%"</f>
        <v>+ 22%</v>
      </c>
      <c r="Y95" s="243" t="str">
        <f>" 59.0%"</f>
        <v> 59.0%</v>
      </c>
      <c r="Z95" s="241" t="str">
        <f>" 22%"</f>
        <v> 22%</v>
      </c>
    </row>
    <row r="96" spans="4:26" ht="12.75" hidden="1">
      <c r="D96" s="241" t="str">
        <f>"+ 61%"</f>
        <v>+ 61%</v>
      </c>
      <c r="E96" s="241" t="str">
        <f>"+ 21%"</f>
        <v>+ 21%</v>
      </c>
      <c r="H96" s="241" t="str">
        <f>"( 21%)"</f>
        <v>( 21%)</v>
      </c>
      <c r="I96" s="241" t="str">
        <f>"+ 41"</f>
        <v>+ 41</v>
      </c>
      <c r="V96" s="241" t="str">
        <f>"+ 41%"</f>
        <v>+ 41%</v>
      </c>
      <c r="W96" s="241" t="str">
        <f>"+ 21%"</f>
        <v>+ 21%</v>
      </c>
      <c r="Y96" s="243" t="str">
        <f>" 58.5%"</f>
        <v> 58.5%</v>
      </c>
      <c r="Z96" s="241" t="str">
        <f>" 21%"</f>
        <v> 21%</v>
      </c>
    </row>
    <row r="97" spans="4:26" ht="12.75" hidden="1">
      <c r="D97" s="241" t="str">
        <f>"+ 60%"</f>
        <v>+ 60%</v>
      </c>
      <c r="E97" s="241" t="str">
        <f>"+ 20%"</f>
        <v>+ 20%</v>
      </c>
      <c r="H97" s="241" t="str">
        <f>"( 20%)"</f>
        <v>( 20%)</v>
      </c>
      <c r="I97" s="241" t="str">
        <f>"+ 40"</f>
        <v>+ 40</v>
      </c>
      <c r="V97" s="241" t="str">
        <f>"+ 40%"</f>
        <v>+ 40%</v>
      </c>
      <c r="W97" s="241" t="str">
        <f>"+ 20%"</f>
        <v>+ 20%</v>
      </c>
      <c r="Y97" s="243" t="str">
        <f>" 58.0%"</f>
        <v> 58.0%</v>
      </c>
      <c r="Z97" s="241" t="str">
        <f>" 20%"</f>
        <v> 20%</v>
      </c>
    </row>
    <row r="98" spans="4:26" ht="12.75" hidden="1">
      <c r="D98" s="241" t="str">
        <f>"+ 59%"</f>
        <v>+ 59%</v>
      </c>
      <c r="E98" s="241" t="str">
        <f>"+ 19%"</f>
        <v>+ 19%</v>
      </c>
      <c r="H98" s="241" t="str">
        <f>"( 19%)"</f>
        <v>( 19%)</v>
      </c>
      <c r="I98" s="241" t="str">
        <f>"+ 39"</f>
        <v>+ 39</v>
      </c>
      <c r="V98" s="241" t="str">
        <f>"+ 39%"</f>
        <v>+ 39%</v>
      </c>
      <c r="W98" s="241" t="str">
        <f>"+ 19%"</f>
        <v>+ 19%</v>
      </c>
      <c r="Y98" s="243" t="str">
        <f>" 57.5%"</f>
        <v> 57.5%</v>
      </c>
      <c r="Z98" s="241" t="str">
        <f>" 19%"</f>
        <v> 19%</v>
      </c>
    </row>
    <row r="99" spans="4:26" ht="12.75" hidden="1">
      <c r="D99" s="241" t="str">
        <f>"+ 58%"</f>
        <v>+ 58%</v>
      </c>
      <c r="E99" s="241" t="str">
        <f>"+ 18%"</f>
        <v>+ 18%</v>
      </c>
      <c r="H99" s="241" t="str">
        <f>"( 18%)"</f>
        <v>( 18%)</v>
      </c>
      <c r="I99" s="241" t="str">
        <f>"+ 38"</f>
        <v>+ 38</v>
      </c>
      <c r="V99" s="241" t="str">
        <f>"+ 38%"</f>
        <v>+ 38%</v>
      </c>
      <c r="W99" s="241" t="str">
        <f>"+ 18%"</f>
        <v>+ 18%</v>
      </c>
      <c r="Y99" s="243" t="str">
        <f>" 57.0%"</f>
        <v> 57.0%</v>
      </c>
      <c r="Z99" s="241" t="str">
        <f>" 18%"</f>
        <v> 18%</v>
      </c>
    </row>
    <row r="100" spans="4:26" ht="12.75" hidden="1">
      <c r="D100" s="241" t="str">
        <f>"+ 57%"</f>
        <v>+ 57%</v>
      </c>
      <c r="E100" s="241" t="str">
        <f>"+ 17%"</f>
        <v>+ 17%</v>
      </c>
      <c r="H100" s="241" t="str">
        <f>"( 17%)"</f>
        <v>( 17%)</v>
      </c>
      <c r="I100" s="241" t="str">
        <f>"+ 37"</f>
        <v>+ 37</v>
      </c>
      <c r="V100" s="241" t="str">
        <f>"+ 37%"</f>
        <v>+ 37%</v>
      </c>
      <c r="W100" s="241" t="str">
        <f>"+ 17%"</f>
        <v>+ 17%</v>
      </c>
      <c r="Y100" s="243" t="str">
        <f>" 56.0%"</f>
        <v> 56.0%</v>
      </c>
      <c r="Z100" s="241" t="str">
        <f>" 17%"</f>
        <v> 17%</v>
      </c>
    </row>
    <row r="101" spans="4:26" ht="12.75" hidden="1">
      <c r="D101" s="241" t="str">
        <f>"+ 56%"</f>
        <v>+ 56%</v>
      </c>
      <c r="E101" s="241" t="str">
        <f>"+ 16%"</f>
        <v>+ 16%</v>
      </c>
      <c r="H101" s="241" t="str">
        <f>"( 16%)"</f>
        <v>( 16%)</v>
      </c>
      <c r="I101" s="241" t="str">
        <f>"+ 36"</f>
        <v>+ 36</v>
      </c>
      <c r="V101" s="241" t="str">
        <f>"+ 36%"</f>
        <v>+ 36%</v>
      </c>
      <c r="W101" s="241" t="str">
        <f>"+ 16%"</f>
        <v>+ 16%</v>
      </c>
      <c r="Y101" s="243" t="str">
        <f>" 55.5%"</f>
        <v> 55.5%</v>
      </c>
      <c r="Z101" s="241" t="str">
        <f>" 16%"</f>
        <v> 16%</v>
      </c>
    </row>
    <row r="102" spans="4:26" ht="12.75" hidden="1">
      <c r="D102" s="241" t="str">
        <f>"+ 55%"</f>
        <v>+ 55%</v>
      </c>
      <c r="E102" s="241" t="str">
        <f>"+ 15%"</f>
        <v>+ 15%</v>
      </c>
      <c r="H102" s="241" t="str">
        <f>"( 15%)"</f>
        <v>( 15%)</v>
      </c>
      <c r="I102" s="241" t="str">
        <f>"+ 35"</f>
        <v>+ 35</v>
      </c>
      <c r="V102" s="241" t="str">
        <f>"+ 35%"</f>
        <v>+ 35%</v>
      </c>
      <c r="W102" s="241" t="str">
        <f>"+ 15%"</f>
        <v>+ 15%</v>
      </c>
      <c r="Y102" s="243" t="str">
        <f>" 55.0%"</f>
        <v> 55.0%</v>
      </c>
      <c r="Z102" s="241" t="str">
        <f>" 15%"</f>
        <v> 15%</v>
      </c>
    </row>
    <row r="103" spans="4:26" ht="12.75" hidden="1">
      <c r="D103" s="241" t="str">
        <f>"+ 54%"</f>
        <v>+ 54%</v>
      </c>
      <c r="E103" s="241" t="str">
        <f>"+ 14%"</f>
        <v>+ 14%</v>
      </c>
      <c r="H103" s="241" t="str">
        <f>"( 14%)"</f>
        <v>( 14%)</v>
      </c>
      <c r="I103" s="241" t="str">
        <f>"+ 34"</f>
        <v>+ 34</v>
      </c>
      <c r="V103" s="241" t="str">
        <f>"+ 34%"</f>
        <v>+ 34%</v>
      </c>
      <c r="W103" s="241" t="str">
        <f>"+ 14%"</f>
        <v>+ 14%</v>
      </c>
      <c r="Y103" s="243" t="str">
        <f>" 54.5%"</f>
        <v> 54.5%</v>
      </c>
      <c r="Z103" s="241" t="str">
        <f>" 14%"</f>
        <v> 14%</v>
      </c>
    </row>
    <row r="104" spans="4:26" ht="12.75" hidden="1">
      <c r="D104" s="241" t="str">
        <f>"+ 53%"</f>
        <v>+ 53%</v>
      </c>
      <c r="E104" s="241" t="str">
        <f>"+ 13%"</f>
        <v>+ 13%</v>
      </c>
      <c r="H104" s="241" t="str">
        <f>"( 13%)"</f>
        <v>( 13%)</v>
      </c>
      <c r="I104" s="241" t="str">
        <f>"+ 33"</f>
        <v>+ 33</v>
      </c>
      <c r="V104" s="241" t="str">
        <f>"+ 33%"</f>
        <v>+ 33%</v>
      </c>
      <c r="W104" s="241" t="str">
        <f>"+ 13%"</f>
        <v>+ 13%</v>
      </c>
      <c r="Y104" s="243" t="str">
        <f>" 54.0%"</f>
        <v> 54.0%</v>
      </c>
      <c r="Z104" s="241" t="str">
        <f>" 13%"</f>
        <v> 13%</v>
      </c>
    </row>
    <row r="105" spans="4:26" ht="12.75" hidden="1">
      <c r="D105" s="241" t="str">
        <f>"+ 52%"</f>
        <v>+ 52%</v>
      </c>
      <c r="E105" s="241" t="str">
        <f>"+ 12%"</f>
        <v>+ 12%</v>
      </c>
      <c r="H105" s="241" t="str">
        <f>"( 12%)"</f>
        <v>( 12%)</v>
      </c>
      <c r="I105" s="241" t="str">
        <f>"+ 32"</f>
        <v>+ 32</v>
      </c>
      <c r="V105" s="241" t="str">
        <f>"+ 32%"</f>
        <v>+ 32%</v>
      </c>
      <c r="W105" s="241" t="str">
        <f>"+ 12%"</f>
        <v>+ 12%</v>
      </c>
      <c r="Y105" s="243" t="str">
        <f>" 53.5%"</f>
        <v> 53.5%</v>
      </c>
      <c r="Z105" s="241" t="str">
        <f>" 12%"</f>
        <v> 12%</v>
      </c>
    </row>
    <row r="106" spans="4:26" ht="12.75" hidden="1">
      <c r="D106" s="241" t="str">
        <f>"+ 51%"</f>
        <v>+ 51%</v>
      </c>
      <c r="E106" s="241" t="str">
        <f>"+ 11%"</f>
        <v>+ 11%</v>
      </c>
      <c r="H106" s="241" t="str">
        <f>"( 11%)"</f>
        <v>( 11%)</v>
      </c>
      <c r="I106" s="241" t="str">
        <f>"+ 31"</f>
        <v>+ 31</v>
      </c>
      <c r="V106" s="241" t="str">
        <f>"+ 31%"</f>
        <v>+ 31%</v>
      </c>
      <c r="W106" s="241" t="str">
        <f>"+ 11%"</f>
        <v>+ 11%</v>
      </c>
      <c r="Y106" s="243" t="str">
        <f>" 53.0%"</f>
        <v> 53.0%</v>
      </c>
      <c r="Z106" s="241" t="str">
        <f>" 11%"</f>
        <v> 11%</v>
      </c>
    </row>
    <row r="107" spans="4:26" ht="12.75" hidden="1">
      <c r="D107" s="241" t="str">
        <f>"+ 50%"</f>
        <v>+ 50%</v>
      </c>
      <c r="E107" s="241" t="str">
        <f>"+ 10%"</f>
        <v>+ 10%</v>
      </c>
      <c r="H107" s="241" t="str">
        <f>"( 10%)"</f>
        <v>( 10%)</v>
      </c>
      <c r="I107" s="241" t="str">
        <f>"+ 30"</f>
        <v>+ 30</v>
      </c>
      <c r="V107" s="241" t="str">
        <f>"+ 30%"</f>
        <v>+ 30%</v>
      </c>
      <c r="W107" s="265" t="str">
        <f>"+ 10%"</f>
        <v>+ 10%</v>
      </c>
      <c r="Y107" s="243" t="str">
        <f>" 52.5%"</f>
        <v> 52.5%</v>
      </c>
      <c r="Z107" s="265" t="str">
        <f>" 10%"</f>
        <v> 10%</v>
      </c>
    </row>
    <row r="108" spans="4:26" ht="12.75" hidden="1">
      <c r="D108" s="241" t="str">
        <f>"+ 49%"</f>
        <v>+ 49%</v>
      </c>
      <c r="E108" s="254" t="str">
        <f>"+  9%"</f>
        <v>+  9%</v>
      </c>
      <c r="H108" s="254" t="str">
        <f>"(  9%)"</f>
        <v>(  9%)</v>
      </c>
      <c r="I108" s="241" t="str">
        <f>"+ 29"</f>
        <v>+ 29</v>
      </c>
      <c r="V108" s="241" t="str">
        <f>"+ 29%"</f>
        <v>+ 29%</v>
      </c>
      <c r="W108" s="264" t="str">
        <f>"+  9%"</f>
        <v>+  9%</v>
      </c>
      <c r="Y108" s="243" t="str">
        <f>" 52.0%"</f>
        <v> 52.0%</v>
      </c>
      <c r="Z108" s="264" t="str">
        <f>"  9%"</f>
        <v>  9%</v>
      </c>
    </row>
    <row r="109" spans="4:26" ht="12.75" hidden="1">
      <c r="D109" s="241" t="str">
        <f>"+ 48%"</f>
        <v>+ 48%</v>
      </c>
      <c r="E109" s="254" t="str">
        <f>"+  8%"</f>
        <v>+  8%</v>
      </c>
      <c r="H109" s="254" t="str">
        <f>"(  8%)"</f>
        <v>(  8%)</v>
      </c>
      <c r="I109" s="241" t="str">
        <f>"+ 28"</f>
        <v>+ 28</v>
      </c>
      <c r="V109" s="241" t="str">
        <f>"+ 28%"</f>
        <v>+ 28%</v>
      </c>
      <c r="W109" s="264" t="str">
        <f>"+  8%"</f>
        <v>+  8%</v>
      </c>
      <c r="Y109" s="243" t="str">
        <f>" 51.5%"</f>
        <v> 51.5%</v>
      </c>
      <c r="Z109" s="264" t="str">
        <f>"  8%"</f>
        <v>  8%</v>
      </c>
    </row>
    <row r="110" spans="4:26" ht="12.75" hidden="1">
      <c r="D110" s="241" t="str">
        <f>"+ 47%"</f>
        <v>+ 47%</v>
      </c>
      <c r="E110" s="254" t="str">
        <f>"+  7%"</f>
        <v>+  7%</v>
      </c>
      <c r="H110" s="254" t="str">
        <f>"(  7%)"</f>
        <v>(  7%)</v>
      </c>
      <c r="I110" s="241" t="str">
        <f>"+ 27"</f>
        <v>+ 27</v>
      </c>
      <c r="V110" s="241" t="str">
        <f>"+ 27%"</f>
        <v>+ 27%</v>
      </c>
      <c r="W110" s="264" t="str">
        <f>"+  7%"</f>
        <v>+  7%</v>
      </c>
      <c r="Y110" s="243" t="str">
        <f>" 51.0%"</f>
        <v> 51.0%</v>
      </c>
      <c r="Z110" s="264" t="str">
        <f>"  7%"</f>
        <v>  7%</v>
      </c>
    </row>
    <row r="111" spans="4:26" ht="12.75" hidden="1">
      <c r="D111" s="241" t="str">
        <f>"+ 46%"</f>
        <v>+ 46%</v>
      </c>
      <c r="E111" s="254" t="str">
        <f>"+  6%"</f>
        <v>+  6%</v>
      </c>
      <c r="H111" s="254" t="str">
        <f>"(  6%)"</f>
        <v>(  6%)</v>
      </c>
      <c r="I111" s="241" t="str">
        <f>"+ 26"</f>
        <v>+ 26</v>
      </c>
      <c r="V111" s="241" t="str">
        <f>"+ 26%"</f>
        <v>+ 26%</v>
      </c>
      <c r="W111" s="264" t="str">
        <f>"+  6%"</f>
        <v>+  6%</v>
      </c>
      <c r="Y111" s="243" t="str">
        <f>" 50.5%"</f>
        <v> 50.5%</v>
      </c>
      <c r="Z111" s="264" t="str">
        <f>"  6%"</f>
        <v>  6%</v>
      </c>
    </row>
    <row r="112" spans="4:26" ht="12.75" hidden="1">
      <c r="D112" s="241" t="str">
        <f>"+ 45%"</f>
        <v>+ 45%</v>
      </c>
      <c r="E112" s="254" t="str">
        <f>"+  5%"</f>
        <v>+  5%</v>
      </c>
      <c r="H112" s="254" t="str">
        <f>"(  5%)"</f>
        <v>(  5%)</v>
      </c>
      <c r="I112" s="241" t="str">
        <f>"+ 25"</f>
        <v>+ 25</v>
      </c>
      <c r="V112" s="241" t="str">
        <f>"+ 25%"</f>
        <v>+ 25%</v>
      </c>
      <c r="W112" s="264" t="str">
        <f>"+  5%"</f>
        <v>+  5%</v>
      </c>
      <c r="Y112" s="243" t="str">
        <f>" 50.0%"</f>
        <v> 50.0%</v>
      </c>
      <c r="Z112" s="264" t="str">
        <f>"  5%"</f>
        <v>  5%</v>
      </c>
    </row>
    <row r="113" spans="4:26" ht="12.75" hidden="1">
      <c r="D113" s="241" t="str">
        <f>"+ 44%"</f>
        <v>+ 44%</v>
      </c>
      <c r="E113" s="254" t="str">
        <f>"+  4%"</f>
        <v>+  4%</v>
      </c>
      <c r="H113" s="254" t="str">
        <f>"(  4%)"</f>
        <v>(  4%)</v>
      </c>
      <c r="I113" s="241" t="str">
        <f>"+ 24"</f>
        <v>+ 24</v>
      </c>
      <c r="V113" s="241" t="str">
        <f>"+ 24%"</f>
        <v>+ 24%</v>
      </c>
      <c r="W113" s="264" t="str">
        <f>"+  4%"</f>
        <v>+  4%</v>
      </c>
      <c r="Y113" s="243" t="str">
        <f>" 49.5%"</f>
        <v> 49.5%</v>
      </c>
      <c r="Z113" s="264" t="str">
        <f>"  4%"</f>
        <v>  4%</v>
      </c>
    </row>
    <row r="114" spans="4:26" ht="12.75" hidden="1">
      <c r="D114" s="241" t="str">
        <f>"+ 43%"</f>
        <v>+ 43%</v>
      </c>
      <c r="E114" s="254" t="str">
        <f>"+  3%"</f>
        <v>+  3%</v>
      </c>
      <c r="H114" s="254" t="str">
        <f>"(  3%)"</f>
        <v>(  3%)</v>
      </c>
      <c r="I114" s="241" t="str">
        <f>"+ 23"</f>
        <v>+ 23</v>
      </c>
      <c r="V114" s="241" t="str">
        <f>"+ 23%"</f>
        <v>+ 23%</v>
      </c>
      <c r="W114" s="264" t="str">
        <f>"+  3%"</f>
        <v>+  3%</v>
      </c>
      <c r="Y114" s="243" t="str">
        <f>" 49.0%"</f>
        <v> 49.0%</v>
      </c>
      <c r="Z114" s="264" t="str">
        <f>"  3%"</f>
        <v>  3%</v>
      </c>
    </row>
    <row r="115" spans="4:26" ht="12.75" hidden="1">
      <c r="D115" s="241" t="str">
        <f>"+ 42%"</f>
        <v>+ 42%</v>
      </c>
      <c r="E115" s="254" t="str">
        <f>"+  2%"</f>
        <v>+  2%</v>
      </c>
      <c r="H115" s="254" t="str">
        <f>"(  2%)"</f>
        <v>(  2%)</v>
      </c>
      <c r="I115" s="241" t="str">
        <f>"+ 22"</f>
        <v>+ 22</v>
      </c>
      <c r="V115" s="241" t="str">
        <f>"+ 22%"</f>
        <v>+ 22%</v>
      </c>
      <c r="W115" s="264" t="str">
        <f>"+  2%"</f>
        <v>+  2%</v>
      </c>
      <c r="Y115" s="243" t="str">
        <f>" 48.5%"</f>
        <v> 48.5%</v>
      </c>
      <c r="Z115" s="264" t="str">
        <f>"  2%"</f>
        <v>  2%</v>
      </c>
    </row>
    <row r="116" spans="4:26" ht="12.75" hidden="1">
      <c r="D116" s="241" t="str">
        <f>"+ 41%"</f>
        <v>+ 41%</v>
      </c>
      <c r="E116" s="254" t="str">
        <f>"+  1%"</f>
        <v>+  1%</v>
      </c>
      <c r="H116" s="254" t="str">
        <f>"(  1%)"</f>
        <v>(  1%)</v>
      </c>
      <c r="I116" s="241" t="str">
        <f>"+ 21"</f>
        <v>+ 21</v>
      </c>
      <c r="V116" s="241" t="str">
        <f>"+ 21%"</f>
        <v>+ 21%</v>
      </c>
      <c r="W116" s="264" t="str">
        <f>"+  1%"</f>
        <v>+  1%</v>
      </c>
      <c r="Y116" s="243" t="str">
        <f>" 48.0%"</f>
        <v> 48.0%</v>
      </c>
      <c r="Z116" s="264" t="str">
        <f>"  1%"</f>
        <v>  1%</v>
      </c>
    </row>
    <row r="117" spans="4:26" ht="12.75" hidden="1">
      <c r="D117" s="241" t="str">
        <f>"+ 40%"</f>
        <v>+ 40%</v>
      </c>
      <c r="E117" s="241" t="str">
        <f>"   0%"</f>
        <v>   0%</v>
      </c>
      <c r="H117" s="241" t="str">
        <f>"(  0%)"</f>
        <v>(  0%)</v>
      </c>
      <c r="I117" s="241" t="str">
        <f>"+ 20"</f>
        <v>+ 20</v>
      </c>
      <c r="V117" s="241" t="str">
        <f>"+ 20%"</f>
        <v>+ 20%</v>
      </c>
      <c r="W117" s="241" t="str">
        <f>"  0%"</f>
        <v>  0%</v>
      </c>
      <c r="Y117" s="243" t="str">
        <f>" 47.5%"</f>
        <v> 47.5%</v>
      </c>
      <c r="Z117" s="241" t="str">
        <f>"  0%"</f>
        <v>  0%</v>
      </c>
    </row>
    <row r="118" spans="4:25" ht="12.75" hidden="1">
      <c r="D118" s="241" t="str">
        <f>"+ 39%"</f>
        <v>+ 39%</v>
      </c>
      <c r="E118" s="254" t="str">
        <f>"-  1%"</f>
        <v>-  1%</v>
      </c>
      <c r="I118" s="241" t="str">
        <f>"+ 19"</f>
        <v>+ 19</v>
      </c>
      <c r="V118" s="241" t="str">
        <f>"+ 19%"</f>
        <v>+ 19%</v>
      </c>
      <c r="Y118" s="243" t="str">
        <f>" 47.0%"</f>
        <v> 47.0%</v>
      </c>
    </row>
    <row r="119" spans="4:25" ht="12.75" hidden="1">
      <c r="D119" s="241" t="str">
        <f>"+ 38%"</f>
        <v>+ 38%</v>
      </c>
      <c r="E119" s="254" t="str">
        <f>"-  2%"</f>
        <v>-  2%</v>
      </c>
      <c r="I119" s="241" t="str">
        <f>"+ 18"</f>
        <v>+ 18</v>
      </c>
      <c r="V119" s="241" t="str">
        <f>"+ 18%"</f>
        <v>+ 18%</v>
      </c>
      <c r="Y119" s="243" t="str">
        <f>" 46.0%"</f>
        <v> 46.0%</v>
      </c>
    </row>
    <row r="120" spans="4:25" ht="12.75" hidden="1">
      <c r="D120" s="241" t="str">
        <f>"+ 37%"</f>
        <v>+ 37%</v>
      </c>
      <c r="E120" s="254" t="str">
        <f>"-  3%"</f>
        <v>-  3%</v>
      </c>
      <c r="I120" s="241" t="str">
        <f>"+ 17"</f>
        <v>+ 17</v>
      </c>
      <c r="V120" s="241" t="str">
        <f>"+ 17%"</f>
        <v>+ 17%</v>
      </c>
      <c r="Y120" s="243" t="str">
        <f>" 45.5%"</f>
        <v> 45.5%</v>
      </c>
    </row>
    <row r="121" spans="4:25" ht="12.75" hidden="1">
      <c r="D121" s="241" t="str">
        <f>"+ 36%"</f>
        <v>+ 36%</v>
      </c>
      <c r="E121" s="254" t="str">
        <f>"-  4%"</f>
        <v>-  4%</v>
      </c>
      <c r="I121" s="241" t="str">
        <f>"+ 16"</f>
        <v>+ 16</v>
      </c>
      <c r="V121" s="241" t="str">
        <f>"+ 16%"</f>
        <v>+ 16%</v>
      </c>
      <c r="Y121" s="243" t="str">
        <f>" 45.0%"</f>
        <v> 45.0%</v>
      </c>
    </row>
    <row r="122" spans="4:25" ht="12.75" hidden="1">
      <c r="D122" s="241" t="str">
        <f>"+ 35%"</f>
        <v>+ 35%</v>
      </c>
      <c r="E122" s="254" t="str">
        <f>"-  5%"</f>
        <v>-  5%</v>
      </c>
      <c r="I122" s="241" t="str">
        <f>"+ 15"</f>
        <v>+ 15</v>
      </c>
      <c r="V122" s="241" t="str">
        <f>"+ 15%"</f>
        <v>+ 15%</v>
      </c>
      <c r="Y122" s="243" t="str">
        <f>" 44.5%"</f>
        <v> 44.5%</v>
      </c>
    </row>
    <row r="123" spans="4:25" ht="12.75" hidden="1">
      <c r="D123" s="241" t="str">
        <f>"+ 34%"</f>
        <v>+ 34%</v>
      </c>
      <c r="E123" s="254" t="str">
        <f>"-  6%"</f>
        <v>-  6%</v>
      </c>
      <c r="I123" s="241" t="str">
        <f>"+ 14"</f>
        <v>+ 14</v>
      </c>
      <c r="V123" s="241" t="str">
        <f>"+ 14%"</f>
        <v>+ 14%</v>
      </c>
      <c r="Y123" s="243" t="str">
        <f>" 44.0%"</f>
        <v> 44.0%</v>
      </c>
    </row>
    <row r="124" spans="4:25" ht="12.75" hidden="1">
      <c r="D124" s="241" t="str">
        <f>"+ 33%"</f>
        <v>+ 33%</v>
      </c>
      <c r="E124" s="254" t="str">
        <f>"-  7%"</f>
        <v>-  7%</v>
      </c>
      <c r="I124" s="241" t="str">
        <f>"+ 13"</f>
        <v>+ 13</v>
      </c>
      <c r="V124" s="241" t="str">
        <f>"+ 13%"</f>
        <v>+ 13%</v>
      </c>
      <c r="Y124" s="243" t="str">
        <f>" 43.5%"</f>
        <v> 43.5%</v>
      </c>
    </row>
    <row r="125" spans="4:25" ht="12.75" hidden="1">
      <c r="D125" s="241" t="str">
        <f>"+ 32%"</f>
        <v>+ 32%</v>
      </c>
      <c r="E125" s="254" t="str">
        <f>"-  8%"</f>
        <v>-  8%</v>
      </c>
      <c r="I125" s="241" t="str">
        <f>"+ 12"</f>
        <v>+ 12</v>
      </c>
      <c r="V125" s="241" t="str">
        <f>"+ 12%"</f>
        <v>+ 12%</v>
      </c>
      <c r="Y125" s="243" t="str">
        <f>" 43.0%"</f>
        <v> 43.0%</v>
      </c>
    </row>
    <row r="126" spans="4:25" ht="12.75" hidden="1">
      <c r="D126" s="241" t="str">
        <f>"+ 31%"</f>
        <v>+ 31%</v>
      </c>
      <c r="E126" s="254" t="str">
        <f>"-  9%"</f>
        <v>-  9%</v>
      </c>
      <c r="I126" s="241" t="str">
        <f>"+ 11"</f>
        <v>+ 11</v>
      </c>
      <c r="V126" s="241" t="str">
        <f>"+ 11%"</f>
        <v>+ 11%</v>
      </c>
      <c r="Y126" s="243" t="str">
        <f>" 42.5%"</f>
        <v> 42.5%</v>
      </c>
    </row>
    <row r="127" spans="4:25" ht="12.75" hidden="1">
      <c r="D127" s="241" t="str">
        <f>"+ 30%"</f>
        <v>+ 30%</v>
      </c>
      <c r="E127" s="241" t="str">
        <f>"- 10%"</f>
        <v>- 10%</v>
      </c>
      <c r="I127" s="265" t="str">
        <f>"+ 10"</f>
        <v>+ 10</v>
      </c>
      <c r="V127" s="265" t="str">
        <f>"+ 10%"</f>
        <v>+ 10%</v>
      </c>
      <c r="Y127" s="243" t="str">
        <f>" 42.0%"</f>
        <v> 42.0%</v>
      </c>
    </row>
    <row r="128" spans="4:25" ht="12.75" hidden="1">
      <c r="D128" s="241" t="str">
        <f>"+ 29%"</f>
        <v>+ 29%</v>
      </c>
      <c r="E128" s="241" t="str">
        <f>"- 11%"</f>
        <v>- 11%</v>
      </c>
      <c r="I128" s="264" t="str">
        <f>"+  9"</f>
        <v>+  9</v>
      </c>
      <c r="V128" s="264" t="str">
        <f>"+  9%"</f>
        <v>+  9%</v>
      </c>
      <c r="Y128" s="243" t="str">
        <f>" 41.5%"</f>
        <v> 41.5%</v>
      </c>
    </row>
    <row r="129" spans="4:25" ht="12.75" hidden="1">
      <c r="D129" s="241" t="str">
        <f>"+ 28%"</f>
        <v>+ 28%</v>
      </c>
      <c r="E129" s="241" t="str">
        <f>"- 12%"</f>
        <v>- 12%</v>
      </c>
      <c r="I129" s="264" t="str">
        <f>"+  8"</f>
        <v>+  8</v>
      </c>
      <c r="V129" s="264" t="str">
        <f>"+  8%"</f>
        <v>+  8%</v>
      </c>
      <c r="Y129" s="243" t="str">
        <f>" 41.0%"</f>
        <v> 41.0%</v>
      </c>
    </row>
    <row r="130" spans="4:25" ht="12.75" hidden="1">
      <c r="D130" s="241" t="str">
        <f>"+ 27%"</f>
        <v>+ 27%</v>
      </c>
      <c r="E130" s="241" t="str">
        <f>"- 13%"</f>
        <v>- 13%</v>
      </c>
      <c r="I130" s="264" t="str">
        <f>"+  7"</f>
        <v>+  7</v>
      </c>
      <c r="V130" s="264" t="str">
        <f>"+  7%"</f>
        <v>+  7%</v>
      </c>
      <c r="Y130" s="243" t="str">
        <f>" 40.5%"</f>
        <v> 40.5%</v>
      </c>
    </row>
    <row r="131" spans="4:25" ht="12.75" hidden="1">
      <c r="D131" s="241" t="str">
        <f>"+ 26%"</f>
        <v>+ 26%</v>
      </c>
      <c r="E131" s="241" t="str">
        <f>"- 14%"</f>
        <v>- 14%</v>
      </c>
      <c r="I131" s="264" t="str">
        <f>"+  6"</f>
        <v>+  6</v>
      </c>
      <c r="V131" s="264" t="str">
        <f>"+  6%"</f>
        <v>+  6%</v>
      </c>
      <c r="Y131" s="243" t="str">
        <f>" 40.0%"</f>
        <v> 40.0%</v>
      </c>
    </row>
    <row r="132" spans="4:25" ht="12.75" hidden="1">
      <c r="D132" s="241" t="str">
        <f>"+ 25%"</f>
        <v>+ 25%</v>
      </c>
      <c r="E132" s="241" t="str">
        <f>"- 15%"</f>
        <v>- 15%</v>
      </c>
      <c r="I132" s="264" t="str">
        <f>"+  5"</f>
        <v>+  5</v>
      </c>
      <c r="V132" s="264" t="str">
        <f>"+  5%"</f>
        <v>+  5%</v>
      </c>
      <c r="Y132" s="243" t="str">
        <f>" 39.5%"</f>
        <v> 39.5%</v>
      </c>
    </row>
    <row r="133" spans="4:25" ht="12.75" hidden="1">
      <c r="D133" s="241" t="str">
        <f>"+ 24%"</f>
        <v>+ 24%</v>
      </c>
      <c r="E133" s="241" t="str">
        <f>"- 16%"</f>
        <v>- 16%</v>
      </c>
      <c r="I133" s="264" t="str">
        <f>"+  4"</f>
        <v>+  4</v>
      </c>
      <c r="V133" s="264" t="str">
        <f>"+  4%"</f>
        <v>+  4%</v>
      </c>
      <c r="Y133" s="243" t="str">
        <f>" 39.0%"</f>
        <v> 39.0%</v>
      </c>
    </row>
    <row r="134" spans="4:25" ht="12.75" hidden="1">
      <c r="D134" s="241" t="str">
        <f>"+ 23%"</f>
        <v>+ 23%</v>
      </c>
      <c r="E134" s="241" t="str">
        <f>"- 17%"</f>
        <v>- 17%</v>
      </c>
      <c r="I134" s="264" t="str">
        <f>"+  3"</f>
        <v>+  3</v>
      </c>
      <c r="V134" s="264" t="str">
        <f>"+  3%"</f>
        <v>+  3%</v>
      </c>
      <c r="Y134" s="243" t="str">
        <f>" 38.5%"</f>
        <v> 38.5%</v>
      </c>
    </row>
    <row r="135" spans="4:25" ht="12.75" hidden="1">
      <c r="D135" s="241" t="str">
        <f>"+ 22%"</f>
        <v>+ 22%</v>
      </c>
      <c r="E135" s="241" t="str">
        <f>"- 18%"</f>
        <v>- 18%</v>
      </c>
      <c r="I135" s="264" t="str">
        <f>"+  2"</f>
        <v>+  2</v>
      </c>
      <c r="V135" s="264" t="str">
        <f>"+  2%"</f>
        <v>+  2%</v>
      </c>
      <c r="Y135" s="243" t="str">
        <f>" 38.0%"</f>
        <v> 38.0%</v>
      </c>
    </row>
    <row r="136" spans="4:25" ht="12.75" hidden="1">
      <c r="D136" s="241" t="str">
        <f>"+ 21%"</f>
        <v>+ 21%</v>
      </c>
      <c r="E136" s="241" t="str">
        <f>"- 19%"</f>
        <v>- 19%</v>
      </c>
      <c r="I136" s="264" t="str">
        <f>"+  1"</f>
        <v>+  1</v>
      </c>
      <c r="V136" s="264" t="str">
        <f>"+  1%"</f>
        <v>+  1%</v>
      </c>
      <c r="Y136" s="243" t="str">
        <f>" 37.5%"</f>
        <v> 37.5%</v>
      </c>
    </row>
    <row r="137" spans="4:25" ht="12.75" hidden="1">
      <c r="D137" s="241" t="str">
        <f>"+ 20%"</f>
        <v>+ 20%</v>
      </c>
      <c r="E137" s="241" t="str">
        <f>"- 20%"</f>
        <v>- 20%</v>
      </c>
      <c r="I137" s="241" t="str">
        <f>"  0"</f>
        <v>  0</v>
      </c>
      <c r="V137" s="241" t="str">
        <f>"  0%"</f>
        <v>  0%</v>
      </c>
      <c r="Y137" s="243" t="str">
        <f>" 37.0%"</f>
        <v> 37.0%</v>
      </c>
    </row>
    <row r="138" spans="4:25" ht="12.75" hidden="1">
      <c r="D138" s="241" t="str">
        <f>"+ 19%"</f>
        <v>+ 19%</v>
      </c>
      <c r="E138" s="241" t="str">
        <f>"- 21%"</f>
        <v>- 21%</v>
      </c>
      <c r="I138" s="264" t="str">
        <f>"-  1"</f>
        <v>-  1</v>
      </c>
      <c r="V138" s="264" t="str">
        <f>"-  1%"</f>
        <v>-  1%</v>
      </c>
      <c r="Y138" s="243" t="str">
        <f>" 36.0%"</f>
        <v> 36.0%</v>
      </c>
    </row>
    <row r="139" spans="4:25" ht="12.75" hidden="1">
      <c r="D139" s="241" t="str">
        <f>"+ 18%"</f>
        <v>+ 18%</v>
      </c>
      <c r="E139" s="241" t="str">
        <f>"- 22%"</f>
        <v>- 22%</v>
      </c>
      <c r="I139" s="264" t="str">
        <f>"-  2"</f>
        <v>-  2</v>
      </c>
      <c r="V139" s="264" t="str">
        <f>"-  2%"</f>
        <v>-  2%</v>
      </c>
      <c r="Y139" s="243" t="str">
        <f>" 35.5%"</f>
        <v> 35.5%</v>
      </c>
    </row>
    <row r="140" spans="4:25" ht="12.75" hidden="1">
      <c r="D140" s="241" t="str">
        <f>"+ 17%"</f>
        <v>+ 17%</v>
      </c>
      <c r="E140" s="241" t="str">
        <f>"- 23%"</f>
        <v>- 23%</v>
      </c>
      <c r="I140" s="264" t="str">
        <f>"-  3"</f>
        <v>-  3</v>
      </c>
      <c r="V140" s="264" t="str">
        <f>"-  3%"</f>
        <v>-  3%</v>
      </c>
      <c r="Y140" s="243" t="str">
        <f>" 35.0%"</f>
        <v> 35.0%</v>
      </c>
    </row>
    <row r="141" spans="4:25" ht="12.75" hidden="1">
      <c r="D141" s="241" t="str">
        <f>"+ 16%"</f>
        <v>+ 16%</v>
      </c>
      <c r="E141" s="241" t="str">
        <f>"- 24%"</f>
        <v>- 24%</v>
      </c>
      <c r="I141" s="264" t="str">
        <f>"-  4"</f>
        <v>-  4</v>
      </c>
      <c r="V141" s="264" t="str">
        <f>"-  4%"</f>
        <v>-  4%</v>
      </c>
      <c r="Y141" s="243" t="str">
        <f>" 34.5%"</f>
        <v> 34.5%</v>
      </c>
    </row>
    <row r="142" spans="4:25" ht="12.75" hidden="1">
      <c r="D142" s="241" t="str">
        <f>"+ 15%"</f>
        <v>+ 15%</v>
      </c>
      <c r="E142" s="241" t="str">
        <f>"- 25%"</f>
        <v>- 25%</v>
      </c>
      <c r="I142" s="264" t="str">
        <f>"-  5"</f>
        <v>-  5</v>
      </c>
      <c r="V142" s="264" t="str">
        <f>"-  5%"</f>
        <v>-  5%</v>
      </c>
      <c r="Y142" s="243" t="str">
        <f>" 34.0%"</f>
        <v> 34.0%</v>
      </c>
    </row>
    <row r="143" spans="4:25" ht="12.75" hidden="1">
      <c r="D143" s="241" t="str">
        <f>"+ 14%"</f>
        <v>+ 14%</v>
      </c>
      <c r="E143" s="241" t="str">
        <f>"- 26%"</f>
        <v>- 26%</v>
      </c>
      <c r="I143" s="264" t="str">
        <f>"-  6"</f>
        <v>-  6</v>
      </c>
      <c r="V143" s="264" t="str">
        <f>"-  6%"</f>
        <v>-  6%</v>
      </c>
      <c r="Y143" s="243" t="str">
        <f>" 33.5%"</f>
        <v> 33.5%</v>
      </c>
    </row>
    <row r="144" spans="4:25" ht="12.75" hidden="1">
      <c r="D144" s="241" t="str">
        <f>"+ 13%"</f>
        <v>+ 13%</v>
      </c>
      <c r="E144" s="241" t="str">
        <f>"- 27%"</f>
        <v>- 27%</v>
      </c>
      <c r="I144" s="264" t="str">
        <f>"-  7"</f>
        <v>-  7</v>
      </c>
      <c r="V144" s="264" t="str">
        <f>"-  7%"</f>
        <v>-  7%</v>
      </c>
      <c r="Y144" s="243" t="str">
        <f>" 33.0%"</f>
        <v> 33.0%</v>
      </c>
    </row>
    <row r="145" spans="4:25" ht="12.75" hidden="1">
      <c r="D145" s="241" t="str">
        <f>"+ 12%"</f>
        <v>+ 12%</v>
      </c>
      <c r="E145" s="241" t="str">
        <f>"- 28%"</f>
        <v>- 28%</v>
      </c>
      <c r="I145" s="264" t="str">
        <f>"-  8"</f>
        <v>-  8</v>
      </c>
      <c r="V145" s="264" t="str">
        <f>"-  8%"</f>
        <v>-  8%</v>
      </c>
      <c r="Y145" s="243" t="str">
        <f>" 32.5%"</f>
        <v> 32.5%</v>
      </c>
    </row>
    <row r="146" spans="4:25" ht="12.75" hidden="1">
      <c r="D146" s="241" t="str">
        <f>"+ 11%"</f>
        <v>+ 11%</v>
      </c>
      <c r="E146" s="241" t="str">
        <f>"- 29%"</f>
        <v>- 29%</v>
      </c>
      <c r="I146" s="264" t="str">
        <f>"-  9"</f>
        <v>-  9</v>
      </c>
      <c r="V146" s="264" t="str">
        <f>"-  9%"</f>
        <v>-  9%</v>
      </c>
      <c r="Y146" s="243" t="str">
        <f>" 32.0%"</f>
        <v> 32.0%</v>
      </c>
    </row>
    <row r="147" spans="4:25" ht="12.75" hidden="1">
      <c r="D147" s="265" t="str">
        <f>"+ 10%"</f>
        <v>+ 10%</v>
      </c>
      <c r="E147" s="241" t="str">
        <f>"- 30%"</f>
        <v>- 30%</v>
      </c>
      <c r="I147" s="265" t="str">
        <f>"- 10"</f>
        <v>- 10</v>
      </c>
      <c r="V147" s="265" t="str">
        <f>"- 10%"</f>
        <v>- 10%</v>
      </c>
      <c r="Y147" s="243" t="str">
        <f>" 31.5%"</f>
        <v> 31.5%</v>
      </c>
    </row>
    <row r="148" spans="4:25" ht="12.75" hidden="1">
      <c r="D148" s="264" t="str">
        <f>"+  9%"</f>
        <v>+  9%</v>
      </c>
      <c r="E148" s="241" t="str">
        <f>"- 31%"</f>
        <v>- 31%</v>
      </c>
      <c r="I148" s="241" t="str">
        <f>"- 11"</f>
        <v>- 11</v>
      </c>
      <c r="V148" s="241" t="str">
        <f>"- 11%"</f>
        <v>- 11%</v>
      </c>
      <c r="Y148" s="243" t="str">
        <f>" 31.0%"</f>
        <v> 31.0%</v>
      </c>
    </row>
    <row r="149" spans="4:25" ht="12.75" hidden="1">
      <c r="D149" s="264" t="str">
        <f>"+  8%"</f>
        <v>+  8%</v>
      </c>
      <c r="E149" s="241" t="str">
        <f>"- 32%"</f>
        <v>- 32%</v>
      </c>
      <c r="I149" s="241" t="str">
        <f>"- 12"</f>
        <v>- 12</v>
      </c>
      <c r="V149" s="241" t="str">
        <f>"- 12%"</f>
        <v>- 12%</v>
      </c>
      <c r="Y149" s="243" t="str">
        <f>" 30.5%"</f>
        <v> 30.5%</v>
      </c>
    </row>
    <row r="150" spans="4:25" ht="12.75" hidden="1">
      <c r="D150" s="264" t="str">
        <f>"+  7%"</f>
        <v>+  7%</v>
      </c>
      <c r="E150" s="241" t="str">
        <f>"- 33%"</f>
        <v>- 33%</v>
      </c>
      <c r="I150" s="241" t="str">
        <f>"- 13"</f>
        <v>- 13</v>
      </c>
      <c r="V150" s="241" t="str">
        <f>"- 13%"</f>
        <v>- 13%</v>
      </c>
      <c r="Y150" s="243" t="str">
        <f>" 30.0%"</f>
        <v> 30.0%</v>
      </c>
    </row>
    <row r="151" spans="4:25" ht="12.75" hidden="1">
      <c r="D151" s="264" t="str">
        <f>"+  6%"</f>
        <v>+  6%</v>
      </c>
      <c r="E151" s="241" t="str">
        <f>"- 34%"</f>
        <v>- 34%</v>
      </c>
      <c r="I151" s="241" t="str">
        <f>"- 14"</f>
        <v>- 14</v>
      </c>
      <c r="V151" s="241" t="str">
        <f>"- 14%"</f>
        <v>- 14%</v>
      </c>
      <c r="Y151" s="243" t="str">
        <f>" 29.5%"</f>
        <v> 29.5%</v>
      </c>
    </row>
    <row r="152" spans="4:25" ht="12.75" hidden="1">
      <c r="D152" s="264" t="str">
        <f>"+  5%"</f>
        <v>+  5%</v>
      </c>
      <c r="E152" s="241" t="str">
        <f>"- 35%"</f>
        <v>- 35%</v>
      </c>
      <c r="I152" s="241" t="str">
        <f>"- 15"</f>
        <v>- 15</v>
      </c>
      <c r="V152" s="241" t="str">
        <f>"- 15%"</f>
        <v>- 15%</v>
      </c>
      <c r="Y152" s="243" t="str">
        <f>" 29.0%"</f>
        <v> 29.0%</v>
      </c>
    </row>
    <row r="153" spans="4:25" ht="12.75" hidden="1">
      <c r="D153" s="264" t="str">
        <f>"+  4%"</f>
        <v>+  4%</v>
      </c>
      <c r="E153" s="241" t="str">
        <f>"- 36%"</f>
        <v>- 36%</v>
      </c>
      <c r="I153" s="241" t="str">
        <f>"- 16"</f>
        <v>- 16</v>
      </c>
      <c r="V153" s="241" t="str">
        <f>"- 16%"</f>
        <v>- 16%</v>
      </c>
      <c r="Y153" s="243" t="str">
        <f>" 28.5%"</f>
        <v> 28.5%</v>
      </c>
    </row>
    <row r="154" spans="4:25" ht="12.75" hidden="1">
      <c r="D154" s="264" t="str">
        <f>"+  3%"</f>
        <v>+  3%</v>
      </c>
      <c r="E154" s="241" t="str">
        <f>"- 37%"</f>
        <v>- 37%</v>
      </c>
      <c r="I154" s="241" t="str">
        <f>"- 17"</f>
        <v>- 17</v>
      </c>
      <c r="V154" s="241" t="str">
        <f>"- 17%"</f>
        <v>- 17%</v>
      </c>
      <c r="Y154" s="243" t="str">
        <f>" 28.0%"</f>
        <v> 28.0%</v>
      </c>
    </row>
    <row r="155" spans="4:25" ht="12.75" hidden="1">
      <c r="D155" s="264" t="str">
        <f>"+  2%"</f>
        <v>+  2%</v>
      </c>
      <c r="E155" s="241" t="str">
        <f>"- 38%"</f>
        <v>- 38%</v>
      </c>
      <c r="I155" s="241" t="str">
        <f>"- 18"</f>
        <v>- 18</v>
      </c>
      <c r="V155" s="241" t="str">
        <f>"- 18%"</f>
        <v>- 18%</v>
      </c>
      <c r="Y155" s="243" t="str">
        <f>" 27.5%"</f>
        <v> 27.5%</v>
      </c>
    </row>
    <row r="156" spans="4:25" ht="12.75" hidden="1">
      <c r="D156" s="264" t="str">
        <f>"+  1%"</f>
        <v>+  1%</v>
      </c>
      <c r="E156" s="241" t="str">
        <f>"- 39%"</f>
        <v>- 39%</v>
      </c>
      <c r="I156" s="241" t="str">
        <f>"- 19"</f>
        <v>- 19</v>
      </c>
      <c r="V156" s="241" t="str">
        <f>"- 19%"</f>
        <v>- 19%</v>
      </c>
      <c r="Y156" s="243" t="str">
        <f>" 27.0%"</f>
        <v> 27.0%</v>
      </c>
    </row>
    <row r="157" spans="4:25" ht="12.75" hidden="1">
      <c r="D157" s="241" t="str">
        <f>"+  0%"</f>
        <v>+  0%</v>
      </c>
      <c r="E157" s="241" t="str">
        <f>"- 40%"</f>
        <v>- 40%</v>
      </c>
      <c r="I157" s="241" t="str">
        <f>"- 20"</f>
        <v>- 20</v>
      </c>
      <c r="V157" s="241" t="str">
        <f>"- 20%"</f>
        <v>- 20%</v>
      </c>
      <c r="Y157" s="243" t="str">
        <f>" 26.0%"</f>
        <v> 26.0%</v>
      </c>
    </row>
    <row r="158" spans="5:25" ht="12.75" hidden="1">
      <c r="E158" s="241" t="str">
        <f>"- 41%"</f>
        <v>- 41%</v>
      </c>
      <c r="I158" s="241" t="str">
        <f>"- 21"</f>
        <v>- 21</v>
      </c>
      <c r="V158" s="241" t="str">
        <f>"- 21%"</f>
        <v>- 21%</v>
      </c>
      <c r="Y158" s="243" t="str">
        <f>" 25.5%"</f>
        <v> 25.5%</v>
      </c>
    </row>
    <row r="159" spans="5:25" ht="12.75" hidden="1">
      <c r="E159" s="241" t="str">
        <f>"- 42%"</f>
        <v>- 42%</v>
      </c>
      <c r="I159" s="241" t="str">
        <f>"- 22"</f>
        <v>- 22</v>
      </c>
      <c r="V159" s="241" t="str">
        <f>"- 22%"</f>
        <v>- 22%</v>
      </c>
      <c r="Y159" s="243" t="str">
        <f>" 25.0%"</f>
        <v> 25.0%</v>
      </c>
    </row>
    <row r="160" spans="5:25" ht="12.75" hidden="1">
      <c r="E160" s="241" t="str">
        <f>"- 43%"</f>
        <v>- 43%</v>
      </c>
      <c r="I160" s="241" t="str">
        <f>"- 23"</f>
        <v>- 23</v>
      </c>
      <c r="V160" s="241" t="str">
        <f>"- 23%"</f>
        <v>- 23%</v>
      </c>
      <c r="Y160" s="243" t="str">
        <f>" 24.5%"</f>
        <v> 24.5%</v>
      </c>
    </row>
    <row r="161" spans="5:25" ht="12.75" hidden="1">
      <c r="E161" s="241" t="str">
        <f>"- 44%"</f>
        <v>- 44%</v>
      </c>
      <c r="I161" s="241" t="str">
        <f>"- 24"</f>
        <v>- 24</v>
      </c>
      <c r="V161" s="241" t="str">
        <f>"- 24%"</f>
        <v>- 24%</v>
      </c>
      <c r="Y161" s="243" t="str">
        <f>" 24.0%"</f>
        <v> 24.0%</v>
      </c>
    </row>
    <row r="162" spans="5:25" ht="12.75" hidden="1">
      <c r="E162" s="241" t="str">
        <f>"- 45%"</f>
        <v>- 45%</v>
      </c>
      <c r="I162" s="241" t="str">
        <f>"- 25"</f>
        <v>- 25</v>
      </c>
      <c r="V162" s="241" t="str">
        <f>"- 25%"</f>
        <v>- 25%</v>
      </c>
      <c r="Y162" s="243" t="str">
        <f>" 23.5%"</f>
        <v> 23.5%</v>
      </c>
    </row>
    <row r="163" spans="5:25" ht="12.75" hidden="1">
      <c r="E163" s="241" t="str">
        <f>"- 46%"</f>
        <v>- 46%</v>
      </c>
      <c r="I163" s="241" t="str">
        <f>"- 26"</f>
        <v>- 26</v>
      </c>
      <c r="V163" s="241" t="str">
        <f>"- 26%"</f>
        <v>- 26%</v>
      </c>
      <c r="Y163" s="243" t="str">
        <f>" 23.0%"</f>
        <v> 23.0%</v>
      </c>
    </row>
    <row r="164" spans="5:25" ht="12.75" hidden="1">
      <c r="E164" s="241" t="str">
        <f>"- 47%"</f>
        <v>- 47%</v>
      </c>
      <c r="I164" s="241" t="str">
        <f>"- 27"</f>
        <v>- 27</v>
      </c>
      <c r="V164" s="241" t="str">
        <f>"- 27%"</f>
        <v>- 27%</v>
      </c>
      <c r="Y164" s="243" t="str">
        <f>" 22.5%"</f>
        <v> 22.5%</v>
      </c>
    </row>
    <row r="165" spans="5:25" ht="12.75" hidden="1">
      <c r="E165" s="241" t="str">
        <f>"- 48%"</f>
        <v>- 48%</v>
      </c>
      <c r="I165" s="241" t="str">
        <f>"- 28"</f>
        <v>- 28</v>
      </c>
      <c r="V165" s="241" t="str">
        <f>"- 28%"</f>
        <v>- 28%</v>
      </c>
      <c r="Y165" s="243" t="str">
        <f>" 22.0%"</f>
        <v> 22.0%</v>
      </c>
    </row>
    <row r="166" spans="5:25" ht="12.75" hidden="1">
      <c r="E166" s="241" t="str">
        <f>"- 49%"</f>
        <v>- 49%</v>
      </c>
      <c r="I166" s="241" t="str">
        <f>"- 29"</f>
        <v>- 29</v>
      </c>
      <c r="V166" s="241" t="str">
        <f>"- 29%"</f>
        <v>- 29%</v>
      </c>
      <c r="Y166" s="243" t="str">
        <f>" 21.5%"</f>
        <v> 21.5%</v>
      </c>
    </row>
    <row r="167" spans="5:25" ht="12.75" hidden="1">
      <c r="E167" s="241" t="str">
        <f>"- 50%"</f>
        <v>- 50%</v>
      </c>
      <c r="I167" s="241" t="str">
        <f>"- 30"</f>
        <v>- 30</v>
      </c>
      <c r="V167" s="241" t="str">
        <f>"- 30%"</f>
        <v>- 30%</v>
      </c>
      <c r="Y167" s="243" t="str">
        <f>" 21.0%"</f>
        <v> 21.0%</v>
      </c>
    </row>
    <row r="168" spans="5:25" ht="12.75" hidden="1">
      <c r="E168" s="241" t="str">
        <f>"- 51%"</f>
        <v>- 51%</v>
      </c>
      <c r="I168" s="241" t="str">
        <f>"- 31"</f>
        <v>- 31</v>
      </c>
      <c r="V168" s="241" t="str">
        <f>"- 31%"</f>
        <v>- 31%</v>
      </c>
      <c r="Y168" s="243" t="str">
        <f>" 20.5%"</f>
        <v> 20.5%</v>
      </c>
    </row>
    <row r="169" spans="5:25" ht="12.75" hidden="1">
      <c r="E169" s="241" t="str">
        <f>"- 52%"</f>
        <v>- 52%</v>
      </c>
      <c r="I169" s="241" t="str">
        <f>"- 32"</f>
        <v>- 32</v>
      </c>
      <c r="V169" s="241" t="str">
        <f>"- 32%"</f>
        <v>- 32%</v>
      </c>
      <c r="Y169" s="243" t="str">
        <f>" 20.0%"</f>
        <v> 20.0%</v>
      </c>
    </row>
    <row r="170" spans="5:25" ht="12.75" hidden="1">
      <c r="E170" s="241" t="str">
        <f>"- 53%"</f>
        <v>- 53%</v>
      </c>
      <c r="I170" s="241" t="str">
        <f>"- 33"</f>
        <v>- 33</v>
      </c>
      <c r="V170" s="241" t="str">
        <f>"- 33%"</f>
        <v>- 33%</v>
      </c>
      <c r="Y170" s="243" t="str">
        <f>" 19.5%"</f>
        <v> 19.5%</v>
      </c>
    </row>
    <row r="171" spans="5:25" ht="12.75" hidden="1">
      <c r="E171" s="241" t="str">
        <f>"- 54%"</f>
        <v>- 54%</v>
      </c>
      <c r="I171" s="241" t="str">
        <f>"- 34"</f>
        <v>- 34</v>
      </c>
      <c r="V171" s="241" t="str">
        <f>"- 34%"</f>
        <v>- 34%</v>
      </c>
      <c r="Y171" s="243" t="str">
        <f>" 19.0%"</f>
        <v> 19.0%</v>
      </c>
    </row>
    <row r="172" spans="5:25" ht="12.75" hidden="1">
      <c r="E172" s="241" t="str">
        <f>"- 55%"</f>
        <v>- 55%</v>
      </c>
      <c r="I172" s="241" t="str">
        <f>"- 35"</f>
        <v>- 35</v>
      </c>
      <c r="V172" s="241" t="str">
        <f>"- 35%"</f>
        <v>- 35%</v>
      </c>
      <c r="Y172" s="243" t="str">
        <f>" 18.5%"</f>
        <v> 18.5%</v>
      </c>
    </row>
    <row r="173" spans="5:25" ht="12.75" hidden="1">
      <c r="E173" s="241" t="str">
        <f>"- 56%"</f>
        <v>- 56%</v>
      </c>
      <c r="I173" s="241" t="str">
        <f>"- 36"</f>
        <v>- 36</v>
      </c>
      <c r="V173" s="241" t="str">
        <f>"- 36%"</f>
        <v>- 36%</v>
      </c>
      <c r="Y173" s="243" t="str">
        <f>" 18.0%"</f>
        <v> 18.0%</v>
      </c>
    </row>
    <row r="174" spans="5:25" ht="12.75" hidden="1">
      <c r="E174" s="241" t="str">
        <f>"- 57%"</f>
        <v>- 57%</v>
      </c>
      <c r="I174" s="241" t="str">
        <f>"- 37"</f>
        <v>- 37</v>
      </c>
      <c r="V174" s="241" t="str">
        <f>"- 37%"</f>
        <v>- 37%</v>
      </c>
      <c r="Y174" s="243" t="str">
        <f>" 17.5%"</f>
        <v> 17.5%</v>
      </c>
    </row>
    <row r="175" spans="5:25" ht="12.75" hidden="1">
      <c r="E175" s="241" t="str">
        <f>"- 58%"</f>
        <v>- 58%</v>
      </c>
      <c r="I175" s="241" t="str">
        <f>"- 38"</f>
        <v>- 38</v>
      </c>
      <c r="V175" s="241" t="str">
        <f>"- 38%"</f>
        <v>- 38%</v>
      </c>
      <c r="Y175" s="243" t="str">
        <f>" 17.0%"</f>
        <v> 17.0%</v>
      </c>
    </row>
    <row r="176" spans="5:25" ht="12.75" hidden="1">
      <c r="E176" s="241" t="str">
        <f>"- 59%"</f>
        <v>- 59%</v>
      </c>
      <c r="I176" s="241" t="str">
        <f>"- 39"</f>
        <v>- 39</v>
      </c>
      <c r="V176" s="241" t="str">
        <f>"- 39%"</f>
        <v>- 39%</v>
      </c>
      <c r="Y176" s="243" t="str">
        <f>" 16.0%"</f>
        <v> 16.0%</v>
      </c>
    </row>
    <row r="177" spans="5:25" ht="12.75" hidden="1">
      <c r="E177" s="241" t="str">
        <f>"- 60%"</f>
        <v>- 60%</v>
      </c>
      <c r="I177" s="241" t="str">
        <f>"- 40"</f>
        <v>- 40</v>
      </c>
      <c r="V177" s="241" t="str">
        <f>"- 40%"</f>
        <v>- 40%</v>
      </c>
      <c r="Y177" s="243" t="str">
        <f>" 15.5%"</f>
        <v> 15.5%</v>
      </c>
    </row>
    <row r="178" spans="5:25" ht="12.75" hidden="1">
      <c r="E178" s="241" t="str">
        <f>"- 61%"</f>
        <v>- 61%</v>
      </c>
      <c r="I178" s="241" t="str">
        <f>"- 41"</f>
        <v>- 41</v>
      </c>
      <c r="V178" s="241" t="str">
        <f>"- 41%"</f>
        <v>- 41%</v>
      </c>
      <c r="Y178" s="243" t="str">
        <f>" 15.0%"</f>
        <v> 15.0%</v>
      </c>
    </row>
    <row r="179" spans="5:25" ht="12.75" hidden="1">
      <c r="E179" s="241" t="str">
        <f>"- 62%"</f>
        <v>- 62%</v>
      </c>
      <c r="I179" s="241" t="str">
        <f>"- 42"</f>
        <v>- 42</v>
      </c>
      <c r="V179" s="241" t="str">
        <f>"- 42%"</f>
        <v>- 42%</v>
      </c>
      <c r="Y179" s="243" t="str">
        <f>" 14.5%"</f>
        <v> 14.5%</v>
      </c>
    </row>
    <row r="180" spans="5:25" ht="12.75" hidden="1">
      <c r="E180" s="241" t="str">
        <f>"- 63%"</f>
        <v>- 63%</v>
      </c>
      <c r="I180" s="241" t="str">
        <f>"- 43"</f>
        <v>- 43</v>
      </c>
      <c r="V180" s="241" t="str">
        <f>"- 43%"</f>
        <v>- 43%</v>
      </c>
      <c r="Y180" s="243" t="str">
        <f>" 14.0%"</f>
        <v> 14.0%</v>
      </c>
    </row>
    <row r="181" spans="5:25" ht="12.75" hidden="1">
      <c r="E181" s="241" t="str">
        <f>"- 64%"</f>
        <v>- 64%</v>
      </c>
      <c r="I181" s="241" t="str">
        <f>"- 44"</f>
        <v>- 44</v>
      </c>
      <c r="V181" s="241" t="str">
        <f>"- 44%"</f>
        <v>- 44%</v>
      </c>
      <c r="Y181" s="243" t="str">
        <f>" 13.5%"</f>
        <v> 13.5%</v>
      </c>
    </row>
    <row r="182" spans="5:25" ht="12.75" hidden="1">
      <c r="E182" s="241" t="str">
        <f>"- 65%"</f>
        <v>- 65%</v>
      </c>
      <c r="I182" s="241" t="str">
        <f>"- 45"</f>
        <v>- 45</v>
      </c>
      <c r="V182" s="241" t="str">
        <f>"- 45%"</f>
        <v>- 45%</v>
      </c>
      <c r="Y182" s="243" t="str">
        <f>" 13.0%"</f>
        <v> 13.0%</v>
      </c>
    </row>
    <row r="183" spans="5:25" ht="12.75" hidden="1">
      <c r="E183" s="241" t="str">
        <f>"- 66%"</f>
        <v>- 66%</v>
      </c>
      <c r="I183" s="241" t="str">
        <f>"- 46"</f>
        <v>- 46</v>
      </c>
      <c r="V183" s="241" t="str">
        <f>"- 46%"</f>
        <v>- 46%</v>
      </c>
      <c r="Y183" s="243" t="str">
        <f>" 12.5%"</f>
        <v> 12.5%</v>
      </c>
    </row>
    <row r="184" spans="5:25" ht="12.75" hidden="1">
      <c r="E184" s="241" t="str">
        <f>"- 67%"</f>
        <v>- 67%</v>
      </c>
      <c r="I184" s="241" t="str">
        <f>"- 47"</f>
        <v>- 47</v>
      </c>
      <c r="V184" s="241" t="str">
        <f>"- 47%"</f>
        <v>- 47%</v>
      </c>
      <c r="Y184" s="243" t="str">
        <f>" 12.0%"</f>
        <v> 12.0%</v>
      </c>
    </row>
    <row r="185" spans="5:25" ht="12.75" hidden="1">
      <c r="E185" s="241" t="str">
        <f>"- 68%"</f>
        <v>- 68%</v>
      </c>
      <c r="I185" s="241" t="str">
        <f>"- 48"</f>
        <v>- 48</v>
      </c>
      <c r="V185" s="241" t="str">
        <f>"- 48%"</f>
        <v>- 48%</v>
      </c>
      <c r="Y185" s="243" t="str">
        <f>" 11.5%"</f>
        <v> 11.5%</v>
      </c>
    </row>
    <row r="186" spans="5:25" ht="12.75" hidden="1">
      <c r="E186" s="241" t="str">
        <f>"- 69%"</f>
        <v>- 69%</v>
      </c>
      <c r="I186" s="241" t="str">
        <f>"- 49"</f>
        <v>- 49</v>
      </c>
      <c r="V186" s="241" t="str">
        <f>"- 49%"</f>
        <v>- 49%</v>
      </c>
      <c r="Y186" s="243" t="str">
        <f>" 11.0%"</f>
        <v> 11.0%</v>
      </c>
    </row>
    <row r="187" spans="5:25" ht="12.75" hidden="1">
      <c r="E187" s="241" t="str">
        <f>"- 70%"</f>
        <v>- 70%</v>
      </c>
      <c r="I187" s="241" t="str">
        <f>"- 50"</f>
        <v>- 50</v>
      </c>
      <c r="V187" s="241" t="str">
        <f>"- 50%"</f>
        <v>- 50%</v>
      </c>
      <c r="Y187" s="243" t="str">
        <f>" 10.5%"</f>
        <v> 10.5%</v>
      </c>
    </row>
    <row r="188" spans="5:25" ht="12.75" hidden="1">
      <c r="E188" s="241" t="str">
        <f>"- 71%"</f>
        <v>- 71%</v>
      </c>
      <c r="I188" s="241" t="str">
        <f>"- 51"</f>
        <v>- 51</v>
      </c>
      <c r="V188" s="241" t="str">
        <f>"- 51%"</f>
        <v>- 51%</v>
      </c>
      <c r="Y188" s="243" t="str">
        <f>" 10.0%"</f>
        <v> 10.0%</v>
      </c>
    </row>
    <row r="189" spans="5:25" ht="12.75" hidden="1">
      <c r="E189" s="241" t="str">
        <f>"- 72%"</f>
        <v>- 72%</v>
      </c>
      <c r="I189" s="241" t="str">
        <f>"- 52"</f>
        <v>- 52</v>
      </c>
      <c r="V189" s="241" t="str">
        <f>"- 52%"</f>
        <v>- 52%</v>
      </c>
      <c r="Y189" s="243" t="str">
        <f>"  9.5%"</f>
        <v>  9.5%</v>
      </c>
    </row>
    <row r="190" spans="5:25" ht="12.75" hidden="1">
      <c r="E190" s="241" t="str">
        <f>"- 73%"</f>
        <v>- 73%</v>
      </c>
      <c r="I190" s="241" t="str">
        <f>"- 53"</f>
        <v>- 53</v>
      </c>
      <c r="V190" s="241" t="str">
        <f>"- 53%"</f>
        <v>- 53%</v>
      </c>
      <c r="Y190" s="243" t="str">
        <f>"  9.0%"</f>
        <v>  9.0%</v>
      </c>
    </row>
    <row r="191" spans="5:25" ht="12.75" hidden="1">
      <c r="E191" s="241" t="str">
        <f>"- 74%"</f>
        <v>- 74%</v>
      </c>
      <c r="I191" s="241" t="str">
        <f>"- 54"</f>
        <v>- 54</v>
      </c>
      <c r="V191" s="241" t="str">
        <f>"- 54%"</f>
        <v>- 54%</v>
      </c>
      <c r="Y191" s="243" t="str">
        <f>"  8.5%"</f>
        <v>  8.5%</v>
      </c>
    </row>
    <row r="192" spans="5:25" ht="12.75" hidden="1">
      <c r="E192" s="241" t="str">
        <f>"- 75%"</f>
        <v>- 75%</v>
      </c>
      <c r="I192" s="241" t="str">
        <f>"- 55"</f>
        <v>- 55</v>
      </c>
      <c r="V192" s="241" t="str">
        <f>"- 55%"</f>
        <v>- 55%</v>
      </c>
      <c r="Y192" s="243" t="str">
        <f>"  8.0%"</f>
        <v>  8.0%</v>
      </c>
    </row>
    <row r="193" spans="5:25" ht="12.75" hidden="1">
      <c r="E193" s="241" t="str">
        <f>"- 76%"</f>
        <v>- 76%</v>
      </c>
      <c r="I193" s="241" t="str">
        <f>"- 56"</f>
        <v>- 56</v>
      </c>
      <c r="V193" s="241" t="str">
        <f>"- 56%"</f>
        <v>- 56%</v>
      </c>
      <c r="Y193" s="243" t="str">
        <f>"  7.5%"</f>
        <v>  7.5%</v>
      </c>
    </row>
    <row r="194" spans="5:25" ht="12.75" hidden="1">
      <c r="E194" s="241" t="str">
        <f>"- 77%"</f>
        <v>- 77%</v>
      </c>
      <c r="I194" s="241" t="str">
        <f>"- 57"</f>
        <v>- 57</v>
      </c>
      <c r="V194" s="241" t="str">
        <f>"- 57%"</f>
        <v>- 57%</v>
      </c>
      <c r="Y194" s="243" t="str">
        <f>"  7.0%"</f>
        <v>  7.0%</v>
      </c>
    </row>
    <row r="195" spans="5:25" ht="12.75" hidden="1">
      <c r="E195" s="241" t="str">
        <f>"- 78%"</f>
        <v>- 78%</v>
      </c>
      <c r="I195" s="241" t="str">
        <f>"- 58"</f>
        <v>- 58</v>
      </c>
      <c r="V195" s="241" t="str">
        <f>"- 58%"</f>
        <v>- 58%</v>
      </c>
      <c r="Y195" s="243" t="str">
        <f>"  6.0%"</f>
        <v>  6.0%</v>
      </c>
    </row>
    <row r="196" spans="5:25" ht="12.75" hidden="1">
      <c r="E196" s="241" t="str">
        <f>"- 79%"</f>
        <v>- 79%</v>
      </c>
      <c r="I196" s="241" t="str">
        <f>"- 59"</f>
        <v>- 59</v>
      </c>
      <c r="V196" s="241" t="str">
        <f>"- 59%"</f>
        <v>- 59%</v>
      </c>
      <c r="Y196" s="243" t="str">
        <f>"  5.5%"</f>
        <v>  5.5%</v>
      </c>
    </row>
    <row r="197" spans="5:25" ht="12.75" hidden="1">
      <c r="E197" s="241" t="str">
        <f>"- 80%"</f>
        <v>- 80%</v>
      </c>
      <c r="I197" s="241" t="str">
        <f>"- 60"</f>
        <v>- 60</v>
      </c>
      <c r="V197" s="241" t="str">
        <f>"- 60%"</f>
        <v>- 60%</v>
      </c>
      <c r="Y197" s="243" t="str">
        <f>"  5.0%"</f>
        <v>  5.0%</v>
      </c>
    </row>
    <row r="198" spans="5:25" ht="12.75" hidden="1">
      <c r="E198" s="241" t="str">
        <f>"- 81%"</f>
        <v>- 81%</v>
      </c>
      <c r="I198" s="241" t="str">
        <f>"- 61"</f>
        <v>- 61</v>
      </c>
      <c r="V198" s="241" t="str">
        <f>"- 61%"</f>
        <v>- 61%</v>
      </c>
      <c r="Y198" s="243" t="str">
        <f>"  4.5%"</f>
        <v>  4.5%</v>
      </c>
    </row>
    <row r="199" spans="5:25" ht="12.75" hidden="1">
      <c r="E199" s="241" t="str">
        <f>"- 82%"</f>
        <v>- 82%</v>
      </c>
      <c r="I199" s="241" t="str">
        <f>"- 62"</f>
        <v>- 62</v>
      </c>
      <c r="V199" s="241" t="str">
        <f>"- 62%"</f>
        <v>- 62%</v>
      </c>
      <c r="Y199" s="243" t="str">
        <f>"  4.0%"</f>
        <v>  4.0%</v>
      </c>
    </row>
    <row r="200" spans="5:25" ht="12.75" hidden="1">
      <c r="E200" s="241" t="str">
        <f>"- 83%"</f>
        <v>- 83%</v>
      </c>
      <c r="I200" s="241" t="str">
        <f>"- 63"</f>
        <v>- 63</v>
      </c>
      <c r="V200" s="241" t="str">
        <f>"- 63%"</f>
        <v>- 63%</v>
      </c>
      <c r="Y200" s="243" t="str">
        <f>"  3.5%"</f>
        <v>  3.5%</v>
      </c>
    </row>
    <row r="201" spans="5:25" ht="12.75" hidden="1">
      <c r="E201" s="241" t="str">
        <f>"- 84%"</f>
        <v>- 84%</v>
      </c>
      <c r="I201" s="241" t="str">
        <f>"- 64"</f>
        <v>- 64</v>
      </c>
      <c r="V201" s="241" t="str">
        <f>"- 64%"</f>
        <v>- 64%</v>
      </c>
      <c r="Y201" s="243" t="str">
        <f>"  3.0%"</f>
        <v>  3.0%</v>
      </c>
    </row>
    <row r="202" spans="5:25" ht="12.75" hidden="1">
      <c r="E202" s="241" t="str">
        <f>"- 85%"</f>
        <v>- 85%</v>
      </c>
      <c r="I202" s="241" t="str">
        <f>"- 65"</f>
        <v>- 65</v>
      </c>
      <c r="V202" s="241" t="str">
        <f>"- 65%"</f>
        <v>- 65%</v>
      </c>
      <c r="Y202" s="243" t="str">
        <f>"  2.5%"</f>
        <v>  2.5%</v>
      </c>
    </row>
    <row r="203" spans="5:25" ht="12.75" hidden="1">
      <c r="E203" s="241" t="str">
        <f>"- 86%"</f>
        <v>- 86%</v>
      </c>
      <c r="I203" s="241" t="str">
        <f>"- 66"</f>
        <v>- 66</v>
      </c>
      <c r="V203" s="241" t="str">
        <f>"- 66%"</f>
        <v>- 66%</v>
      </c>
      <c r="Y203" s="243" t="str">
        <f>"  2.0%"</f>
        <v>  2.0%</v>
      </c>
    </row>
    <row r="204" spans="5:25" ht="12.75" hidden="1">
      <c r="E204" s="241" t="str">
        <f>"- 87%"</f>
        <v>- 87%</v>
      </c>
      <c r="I204" s="241" t="str">
        <f>"- 67"</f>
        <v>- 67</v>
      </c>
      <c r="V204" s="241" t="str">
        <f>"- 67%"</f>
        <v>- 67%</v>
      </c>
      <c r="Y204" s="243" t="str">
        <f>"  1.5%"</f>
        <v>  1.5%</v>
      </c>
    </row>
    <row r="205" spans="5:25" ht="12.75" hidden="1">
      <c r="E205" s="241" t="str">
        <f>"- 88%"</f>
        <v>- 88%</v>
      </c>
      <c r="I205" s="241" t="str">
        <f>"- 68"</f>
        <v>- 68</v>
      </c>
      <c r="V205" s="241" t="str">
        <f>"- 68%"</f>
        <v>- 68%</v>
      </c>
      <c r="Y205" s="243" t="str">
        <f>"  1.0%"</f>
        <v>  1.0%</v>
      </c>
    </row>
    <row r="206" spans="5:25" ht="12.75" hidden="1">
      <c r="E206" s="241" t="str">
        <f>"- 89%"</f>
        <v>- 89%</v>
      </c>
      <c r="I206" s="241" t="str">
        <f>"- 69"</f>
        <v>- 69</v>
      </c>
      <c r="V206" s="241" t="str">
        <f>"- 69%"</f>
        <v>- 69%</v>
      </c>
      <c r="Y206" s="243" t="str">
        <f>"  0.5%"</f>
        <v>  0.5%</v>
      </c>
    </row>
    <row r="207" spans="5:25" ht="12.75" hidden="1">
      <c r="E207" s="241" t="str">
        <f>"- 90%"</f>
        <v>- 90%</v>
      </c>
      <c r="I207" s="241" t="str">
        <f>"- 70"</f>
        <v>- 70</v>
      </c>
      <c r="V207" s="241" t="str">
        <f>"- 70%"</f>
        <v>- 70%</v>
      </c>
      <c r="Y207" s="243" t="str">
        <f>"  0.0%"</f>
        <v>  0.0%</v>
      </c>
    </row>
    <row r="208" spans="5:22" ht="12.75" hidden="1">
      <c r="E208" s="241" t="str">
        <f>"- 91%"</f>
        <v>- 91%</v>
      </c>
      <c r="I208" s="241" t="str">
        <f>"- 71"</f>
        <v>- 71</v>
      </c>
      <c r="V208" s="241" t="str">
        <f>"- 71%"</f>
        <v>- 71%</v>
      </c>
    </row>
    <row r="209" spans="5:22" ht="12.75" hidden="1">
      <c r="E209" s="241" t="str">
        <f>"- 92%"</f>
        <v>- 92%</v>
      </c>
      <c r="I209" s="241" t="str">
        <f>"- 72"</f>
        <v>- 72</v>
      </c>
      <c r="V209" s="241" t="str">
        <f>"- 72%"</f>
        <v>- 72%</v>
      </c>
    </row>
    <row r="210" spans="5:22" ht="12.75" hidden="1">
      <c r="E210" s="241" t="str">
        <f>"- 93%"</f>
        <v>- 93%</v>
      </c>
      <c r="I210" s="241" t="str">
        <f>"- 73"</f>
        <v>- 73</v>
      </c>
      <c r="V210" s="241" t="str">
        <f>"- 73%"</f>
        <v>- 73%</v>
      </c>
    </row>
    <row r="211" spans="5:22" ht="12.75" hidden="1">
      <c r="E211" s="241" t="str">
        <f>"- 94%"</f>
        <v>- 94%</v>
      </c>
      <c r="I211" s="241" t="str">
        <f>"- 74"</f>
        <v>- 74</v>
      </c>
      <c r="V211" s="241" t="str">
        <f>"- 74%"</f>
        <v>- 74%</v>
      </c>
    </row>
    <row r="212" spans="5:22" ht="12.75" hidden="1">
      <c r="E212" s="241" t="str">
        <f>"- 95%"</f>
        <v>- 95%</v>
      </c>
      <c r="I212" s="241" t="str">
        <f>"- 75"</f>
        <v>- 75</v>
      </c>
      <c r="V212" s="241" t="str">
        <f>"- 75%"</f>
        <v>- 75%</v>
      </c>
    </row>
    <row r="213" spans="5:22" ht="12.75" hidden="1">
      <c r="E213" s="241" t="str">
        <f>"- 96%"</f>
        <v>- 96%</v>
      </c>
      <c r="I213" s="241" t="str">
        <f>"- 76"</f>
        <v>- 76</v>
      </c>
      <c r="V213" s="241" t="str">
        <f>"- 76%"</f>
        <v>- 76%</v>
      </c>
    </row>
    <row r="214" spans="5:22" ht="12.75" hidden="1">
      <c r="E214" s="241" t="str">
        <f>"- 97%"</f>
        <v>- 97%</v>
      </c>
      <c r="I214" s="241" t="str">
        <f>"- 77"</f>
        <v>- 77</v>
      </c>
      <c r="V214" s="241" t="str">
        <f>"- 77%"</f>
        <v>- 77%</v>
      </c>
    </row>
    <row r="215" spans="5:22" ht="12.75" hidden="1">
      <c r="E215" s="241" t="str">
        <f>"- 98%"</f>
        <v>- 98%</v>
      </c>
      <c r="I215" s="241" t="str">
        <f>"- 78"</f>
        <v>- 78</v>
      </c>
      <c r="V215" s="241" t="str">
        <f>"- 78%"</f>
        <v>- 78%</v>
      </c>
    </row>
    <row r="216" spans="5:22" ht="12.75" hidden="1">
      <c r="E216" s="241" t="str">
        <f>"- 99%"</f>
        <v>- 99%</v>
      </c>
      <c r="I216" s="241" t="str">
        <f>"- 79"</f>
        <v>- 79</v>
      </c>
      <c r="V216" s="241" t="str">
        <f>"- 79%"</f>
        <v>- 79%</v>
      </c>
    </row>
    <row r="217" spans="5:22" ht="12.75" hidden="1">
      <c r="E217" s="265" t="str">
        <f>"-100%"</f>
        <v>-100%</v>
      </c>
      <c r="I217" s="241" t="str">
        <f>"- 80"</f>
        <v>- 80</v>
      </c>
      <c r="V217" s="241" t="str">
        <f>"- 80%"</f>
        <v>- 80%</v>
      </c>
    </row>
    <row r="218" spans="9:22" ht="12.75" hidden="1">
      <c r="I218" s="241" t="str">
        <f>"- 81"</f>
        <v>- 81</v>
      </c>
      <c r="V218" s="241" t="str">
        <f>"- 81%"</f>
        <v>- 81%</v>
      </c>
    </row>
    <row r="219" spans="9:22" ht="12.75" hidden="1">
      <c r="I219" s="241" t="str">
        <f>"- 82"</f>
        <v>- 82</v>
      </c>
      <c r="V219" s="241" t="str">
        <f>"- 82%"</f>
        <v>- 82%</v>
      </c>
    </row>
    <row r="220" spans="9:22" ht="12.75" hidden="1">
      <c r="I220" s="241" t="str">
        <f>"- 83"</f>
        <v>- 83</v>
      </c>
      <c r="V220" s="241" t="str">
        <f>"- 83%"</f>
        <v>- 83%</v>
      </c>
    </row>
    <row r="221" spans="9:22" ht="12.75" hidden="1">
      <c r="I221" s="241" t="str">
        <f>"- 84"</f>
        <v>- 84</v>
      </c>
      <c r="V221" s="241" t="str">
        <f>"- 84%"</f>
        <v>- 84%</v>
      </c>
    </row>
    <row r="222" spans="9:22" ht="12.75" hidden="1">
      <c r="I222" s="241" t="str">
        <f>"- 85"</f>
        <v>- 85</v>
      </c>
      <c r="V222" s="241" t="str">
        <f>"- 85%"</f>
        <v>- 85%</v>
      </c>
    </row>
    <row r="223" spans="9:22" ht="12.75" hidden="1">
      <c r="I223" s="241" t="str">
        <f>"- 86"</f>
        <v>- 86</v>
      </c>
      <c r="V223" s="241" t="str">
        <f>"- 86%"</f>
        <v>- 86%</v>
      </c>
    </row>
    <row r="224" spans="9:22" ht="12.75" hidden="1">
      <c r="I224" s="241" t="str">
        <f>"- 87"</f>
        <v>- 87</v>
      </c>
      <c r="V224" s="241" t="str">
        <f>"- 87%"</f>
        <v>- 87%</v>
      </c>
    </row>
    <row r="225" spans="9:22" ht="12.75" hidden="1">
      <c r="I225" s="241" t="str">
        <f>"- 88"</f>
        <v>- 88</v>
      </c>
      <c r="V225" s="241" t="str">
        <f>"- 88%"</f>
        <v>- 88%</v>
      </c>
    </row>
    <row r="226" spans="9:22" ht="12.75" hidden="1">
      <c r="I226" s="241" t="str">
        <f>"- 89"</f>
        <v>- 89</v>
      </c>
      <c r="V226" s="241" t="str">
        <f>"- 89%"</f>
        <v>- 89%</v>
      </c>
    </row>
    <row r="227" spans="9:22" ht="12.75" hidden="1">
      <c r="I227" s="241" t="str">
        <f>"- 90"</f>
        <v>- 90</v>
      </c>
      <c r="V227" s="241" t="str">
        <f>"- 90%"</f>
        <v>- 90%</v>
      </c>
    </row>
    <row r="228" spans="9:22" ht="12.75" hidden="1">
      <c r="I228" s="241" t="str">
        <f>"- 91"</f>
        <v>- 91</v>
      </c>
      <c r="V228" s="241" t="str">
        <f>"- 91%"</f>
        <v>- 91%</v>
      </c>
    </row>
    <row r="229" spans="9:22" ht="12.75" hidden="1">
      <c r="I229" s="241" t="str">
        <f>"- 92"</f>
        <v>- 92</v>
      </c>
      <c r="V229" s="241" t="str">
        <f>"- 92%"</f>
        <v>- 92%</v>
      </c>
    </row>
    <row r="230" spans="9:22" ht="12.75" hidden="1">
      <c r="I230" s="241" t="str">
        <f>"- 93"</f>
        <v>- 93</v>
      </c>
      <c r="V230" s="241" t="str">
        <f>"- 93%"</f>
        <v>- 93%</v>
      </c>
    </row>
    <row r="231" spans="9:22" ht="12.75" hidden="1">
      <c r="I231" s="241" t="str">
        <f>"- 94"</f>
        <v>- 94</v>
      </c>
      <c r="V231" s="241" t="str">
        <f>"- 94%"</f>
        <v>- 94%</v>
      </c>
    </row>
    <row r="232" spans="9:22" ht="12.75" hidden="1">
      <c r="I232" s="241" t="str">
        <f>"- 95"</f>
        <v>- 95</v>
      </c>
      <c r="V232" s="241" t="str">
        <f>"- 95%"</f>
        <v>- 95%</v>
      </c>
    </row>
    <row r="233" spans="9:22" ht="12.75" hidden="1">
      <c r="I233" s="241" t="str">
        <f>"- 96"</f>
        <v>- 96</v>
      </c>
      <c r="V233" s="241" t="str">
        <f>"- 96%"</f>
        <v>- 96%</v>
      </c>
    </row>
    <row r="234" spans="9:22" ht="12.75" hidden="1">
      <c r="I234" s="241" t="str">
        <f>"- 97"</f>
        <v>- 97</v>
      </c>
      <c r="V234" s="241" t="str">
        <f>"- 97%"</f>
        <v>- 97%</v>
      </c>
    </row>
    <row r="235" spans="9:22" ht="12.75" hidden="1">
      <c r="I235" s="241" t="str">
        <f>"- 98"</f>
        <v>- 98</v>
      </c>
      <c r="V235" s="241" t="str">
        <f>"- 98%"</f>
        <v>- 98%</v>
      </c>
    </row>
    <row r="236" spans="9:22" ht="12.75" hidden="1">
      <c r="I236" s="241" t="str">
        <f>"- 99"</f>
        <v>- 99</v>
      </c>
      <c r="V236" s="241" t="str">
        <f>"- 99%"</f>
        <v>- 99%</v>
      </c>
    </row>
    <row r="237" spans="9:22" ht="12.75" hidden="1">
      <c r="I237" s="265" t="str">
        <f>"-100"</f>
        <v>-100</v>
      </c>
      <c r="V237" s="265" t="str">
        <f>"-100%"</f>
        <v>-100%</v>
      </c>
    </row>
    <row r="238" spans="9:22" ht="12.75" hidden="1">
      <c r="I238" s="265" t="str">
        <f>"-101"</f>
        <v>-101</v>
      </c>
      <c r="V238" s="265" t="str">
        <f>"-101%"</f>
        <v>-101%</v>
      </c>
    </row>
    <row r="239" spans="9:22" ht="12.75" hidden="1">
      <c r="I239" s="265" t="str">
        <f>"-102"</f>
        <v>-102</v>
      </c>
      <c r="V239" s="265" t="str">
        <f>"-102%"</f>
        <v>-102%</v>
      </c>
    </row>
    <row r="240" spans="9:22" ht="12.75" hidden="1">
      <c r="I240" s="265" t="str">
        <f>"-103"</f>
        <v>-103</v>
      </c>
      <c r="V240" s="265" t="str">
        <f>"-103%"</f>
        <v>-103%</v>
      </c>
    </row>
    <row r="241" spans="9:22" ht="12.75" hidden="1">
      <c r="I241" s="265" t="str">
        <f>"-104"</f>
        <v>-104</v>
      </c>
      <c r="V241" s="265" t="str">
        <f>"-104%"</f>
        <v>-104%</v>
      </c>
    </row>
    <row r="242" spans="9:22" ht="12.75" hidden="1">
      <c r="I242" s="265" t="str">
        <f>"-105"</f>
        <v>-105</v>
      </c>
      <c r="V242" s="265" t="str">
        <f>"-105%"</f>
        <v>-105%</v>
      </c>
    </row>
    <row r="243" spans="9:22" ht="12.75" hidden="1">
      <c r="I243" s="265" t="str">
        <f>"-106"</f>
        <v>-106</v>
      </c>
      <c r="V243" s="265" t="str">
        <f>"-106%"</f>
        <v>-106%</v>
      </c>
    </row>
    <row r="244" spans="9:22" ht="12.75" hidden="1">
      <c r="I244" s="265" t="str">
        <f>"-107"</f>
        <v>-107</v>
      </c>
      <c r="V244" s="265" t="str">
        <f>"-107%"</f>
        <v>-107%</v>
      </c>
    </row>
    <row r="245" spans="9:22" ht="12.75" hidden="1">
      <c r="I245" s="265" t="str">
        <f>"-108"</f>
        <v>-108</v>
      </c>
      <c r="V245" s="265" t="str">
        <f>"-108%"</f>
        <v>-108%</v>
      </c>
    </row>
    <row r="246" spans="9:22" ht="12.75" hidden="1">
      <c r="I246" s="265" t="str">
        <f>"-109"</f>
        <v>-109</v>
      </c>
      <c r="V246" s="265" t="str">
        <f>"-109%"</f>
        <v>-109%</v>
      </c>
    </row>
    <row r="247" spans="9:22" ht="12.75" hidden="1">
      <c r="I247" s="265" t="str">
        <f>"-110"</f>
        <v>-110</v>
      </c>
      <c r="V247" s="265" t="str">
        <f>"-110%"</f>
        <v>-110%</v>
      </c>
    </row>
    <row r="248" spans="9:22" ht="12.75" hidden="1">
      <c r="I248" s="265" t="str">
        <f>"-111"</f>
        <v>-111</v>
      </c>
      <c r="V248" s="265" t="str">
        <f>"-111%"</f>
        <v>-111%</v>
      </c>
    </row>
    <row r="249" spans="9:22" ht="12.75" hidden="1">
      <c r="I249" s="265" t="str">
        <f>"-112"</f>
        <v>-112</v>
      </c>
      <c r="V249" s="265" t="str">
        <f>"-112%"</f>
        <v>-112%</v>
      </c>
    </row>
    <row r="250" spans="9:22" ht="12.75" hidden="1">
      <c r="I250" s="265" t="str">
        <f>"-113"</f>
        <v>-113</v>
      </c>
      <c r="V250" s="265" t="str">
        <f>"-113%"</f>
        <v>-113%</v>
      </c>
    </row>
    <row r="251" spans="9:22" ht="12.75" hidden="1">
      <c r="I251" s="265" t="str">
        <f>"-114"</f>
        <v>-114</v>
      </c>
      <c r="V251" s="265" t="str">
        <f>"-114%"</f>
        <v>-114%</v>
      </c>
    </row>
    <row r="252" spans="9:22" ht="12.75" hidden="1">
      <c r="I252" s="265" t="str">
        <f>"-115"</f>
        <v>-115</v>
      </c>
      <c r="V252" s="265" t="str">
        <f>"-115%"</f>
        <v>-115%</v>
      </c>
    </row>
    <row r="253" spans="9:22" ht="12.75" hidden="1">
      <c r="I253" s="265" t="str">
        <f>"-116"</f>
        <v>-116</v>
      </c>
      <c r="V253" s="265" t="str">
        <f>"-116%"</f>
        <v>-116%</v>
      </c>
    </row>
    <row r="254" spans="9:22" ht="12.75" hidden="1">
      <c r="I254" s="265" t="str">
        <f>"-117"</f>
        <v>-117</v>
      </c>
      <c r="V254" s="265" t="str">
        <f>"-117%"</f>
        <v>-117%</v>
      </c>
    </row>
    <row r="255" spans="9:22" ht="12.75" hidden="1">
      <c r="I255" s="265" t="str">
        <f>"-118"</f>
        <v>-118</v>
      </c>
      <c r="V255" s="265" t="str">
        <f>"-118%"</f>
        <v>-118%</v>
      </c>
    </row>
    <row r="256" spans="9:22" ht="12.75" hidden="1">
      <c r="I256" s="265" t="str">
        <f>"-119"</f>
        <v>-119</v>
      </c>
      <c r="V256" s="265" t="str">
        <f>"-119%"</f>
        <v>-119%</v>
      </c>
    </row>
    <row r="257" spans="9:22" ht="12.75" hidden="1">
      <c r="I257" s="265" t="str">
        <f>"-120"</f>
        <v>-120</v>
      </c>
      <c r="V257" s="265" t="str">
        <f>"-120%"</f>
        <v>-120%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Sims</dc:creator>
  <cp:keywords/>
  <dc:description/>
  <cp:lastModifiedBy>Bob Sims</cp:lastModifiedBy>
  <dcterms:created xsi:type="dcterms:W3CDTF">2009-03-10T07:19:00Z</dcterms:created>
  <dcterms:modified xsi:type="dcterms:W3CDTF">2009-03-12T08:16:39Z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